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alfhay" sheetId="1" r:id="rId1"/>
    <sheet name="Machinery Costs" sheetId="2" r:id="rId2"/>
  </sheets>
  <definedNames>
    <definedName name="_xlnm.Print_Area" localSheetId="0">alfhay!$A$1:$P$137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P19" i="1" s="1"/>
  <c r="M19" i="1"/>
  <c r="N104" i="1"/>
  <c r="M101" i="1"/>
  <c r="M105" i="1"/>
  <c r="M104" i="1"/>
  <c r="I8" i="2"/>
  <c r="D8" i="2"/>
  <c r="C8" i="2"/>
  <c r="F8" i="2"/>
  <c r="I7" i="2"/>
  <c r="D7" i="2"/>
  <c r="C7" i="2"/>
  <c r="F7" i="2"/>
  <c r="L98" i="1"/>
  <c r="K28" i="1"/>
  <c r="N98" i="1"/>
  <c r="M98" i="1"/>
  <c r="M103" i="1" s="1"/>
  <c r="N103" i="1" s="1"/>
  <c r="P28" i="1"/>
  <c r="N28" i="1"/>
  <c r="M28" i="1"/>
  <c r="L28" i="1"/>
  <c r="L100" i="1"/>
  <c r="N100" i="1"/>
  <c r="N99" i="1"/>
  <c r="D5" i="2"/>
  <c r="C5" i="2"/>
  <c r="D4" i="2"/>
  <c r="C4" i="2"/>
  <c r="E4" i="2" s="1"/>
  <c r="H4" i="2" s="1"/>
  <c r="J4" i="2" s="1"/>
  <c r="F4" i="2"/>
  <c r="D3" i="2"/>
  <c r="D2" i="2"/>
  <c r="C2" i="2"/>
  <c r="G2" i="2" s="1"/>
  <c r="N101" i="1"/>
  <c r="L102" i="1"/>
  <c r="I4" i="2"/>
  <c r="N102" i="1"/>
  <c r="D6" i="2"/>
  <c r="I6" i="2"/>
  <c r="D9" i="2"/>
  <c r="C9" i="2"/>
  <c r="O48" i="1"/>
  <c r="O49" i="1"/>
  <c r="O46" i="1" s="1"/>
  <c r="O47" i="1"/>
  <c r="L101" i="1"/>
  <c r="L99" i="1"/>
  <c r="I3" i="2"/>
  <c r="I5" i="2"/>
  <c r="I9" i="2"/>
  <c r="I2" i="2"/>
  <c r="M102" i="1"/>
  <c r="M100" i="1"/>
  <c r="M99" i="1"/>
  <c r="P16" i="1"/>
  <c r="P21" i="1"/>
  <c r="P11" i="1"/>
  <c r="P13" i="1" s="1"/>
  <c r="P12" i="1"/>
  <c r="K16" i="1"/>
  <c r="K21" i="1"/>
  <c r="P35" i="1"/>
  <c r="K11" i="1"/>
  <c r="K12" i="1"/>
  <c r="K35" i="1"/>
  <c r="N21" i="1"/>
  <c r="M21" i="1"/>
  <c r="L21" i="1"/>
  <c r="L11" i="1"/>
  <c r="M11" i="1"/>
  <c r="N11" i="1"/>
  <c r="N13" i="1" s="1"/>
  <c r="L12" i="1"/>
  <c r="L13" i="1"/>
  <c r="L36" i="1"/>
  <c r="M12" i="1"/>
  <c r="M13" i="1" s="1"/>
  <c r="N12" i="1"/>
  <c r="L16" i="1"/>
  <c r="M16" i="1"/>
  <c r="N16" i="1"/>
  <c r="L35" i="1"/>
  <c r="M35" i="1"/>
  <c r="N35" i="1"/>
  <c r="K19" i="1"/>
  <c r="N36" i="1"/>
  <c r="N107" i="1"/>
  <c r="E7" i="2"/>
  <c r="H7" i="2"/>
  <c r="E8" i="2"/>
  <c r="H8" i="2" s="1"/>
  <c r="J8" i="2" s="1"/>
  <c r="J104" i="1" s="1"/>
  <c r="G7" i="2"/>
  <c r="G8" i="2"/>
  <c r="F5" i="2"/>
  <c r="J100" i="1"/>
  <c r="G4" i="2"/>
  <c r="N19" i="1"/>
  <c r="P24" i="1" l="1"/>
  <c r="L24" i="1"/>
  <c r="N24" i="1"/>
  <c r="K24" i="1"/>
  <c r="K20" i="1"/>
  <c r="N20" i="1"/>
  <c r="P20" i="1"/>
  <c r="L20" i="1"/>
  <c r="M20" i="1"/>
  <c r="C3" i="2"/>
  <c r="E5" i="2"/>
  <c r="G5" i="2"/>
  <c r="L106" i="1"/>
  <c r="L107" i="1" s="1"/>
  <c r="J7" i="2"/>
  <c r="J103" i="1" s="1"/>
  <c r="M36" i="1"/>
  <c r="K13" i="1"/>
  <c r="C6" i="2"/>
  <c r="M24" i="1"/>
  <c r="P36" i="1"/>
  <c r="G9" i="2"/>
  <c r="E9" i="2"/>
  <c r="F9" i="2"/>
  <c r="E2" i="2"/>
  <c r="F2" i="2"/>
  <c r="L19" i="1"/>
  <c r="K26" i="1" l="1"/>
  <c r="E6" i="2"/>
  <c r="G6" i="2"/>
  <c r="F6" i="2"/>
  <c r="M23" i="1"/>
  <c r="L23" i="1"/>
  <c r="K23" i="1"/>
  <c r="P23" i="1"/>
  <c r="P26" i="1" s="1"/>
  <c r="N23" i="1"/>
  <c r="F3" i="2"/>
  <c r="G3" i="2"/>
  <c r="E3" i="2"/>
  <c r="H3" i="2" s="1"/>
  <c r="J3" i="2" s="1"/>
  <c r="J99" i="1" s="1"/>
  <c r="L26" i="1"/>
  <c r="L31" i="1" s="1"/>
  <c r="K36" i="1"/>
  <c r="N26" i="1"/>
  <c r="H9" i="2"/>
  <c r="J9" i="2" s="1"/>
  <c r="J105" i="1" s="1"/>
  <c r="H5" i="2"/>
  <c r="J5" i="2" s="1"/>
  <c r="J101" i="1" s="1"/>
  <c r="M26" i="1"/>
  <c r="M31" i="1"/>
  <c r="H2" i="2"/>
  <c r="J2" i="2" s="1"/>
  <c r="J98" i="1" s="1"/>
  <c r="L32" i="1" l="1"/>
  <c r="L48" i="1"/>
  <c r="M48" i="1"/>
  <c r="M32" i="1"/>
  <c r="K31" i="1"/>
  <c r="P31" i="1"/>
  <c r="N31" i="1"/>
  <c r="H6" i="2"/>
  <c r="J6" i="2" s="1"/>
  <c r="J102" i="1" s="1"/>
  <c r="J107" i="1" s="1"/>
  <c r="P37" i="1" l="1"/>
  <c r="P41" i="1" s="1"/>
  <c r="K37" i="1"/>
  <c r="K41" i="1" s="1"/>
  <c r="M37" i="1"/>
  <c r="M41" i="1" s="1"/>
  <c r="M43" i="1" s="1"/>
  <c r="L37" i="1"/>
  <c r="L41" i="1" s="1"/>
  <c r="L43" i="1" s="1"/>
  <c r="N37" i="1"/>
  <c r="N41" i="1" s="1"/>
  <c r="N43" i="1" s="1"/>
  <c r="N32" i="1"/>
  <c r="N48" i="1"/>
  <c r="K32" i="1"/>
  <c r="K43" i="1"/>
  <c r="K48" i="1"/>
  <c r="P32" i="1"/>
  <c r="P43" i="1"/>
  <c r="P48" i="1"/>
  <c r="N49" i="1" l="1"/>
  <c r="N44" i="1"/>
  <c r="P44" i="1"/>
  <c r="P49" i="1"/>
  <c r="L44" i="1"/>
  <c r="L49" i="1"/>
  <c r="M44" i="1"/>
  <c r="M49" i="1"/>
  <c r="K44" i="1"/>
  <c r="K49" i="1"/>
  <c r="N47" i="1" l="1"/>
  <c r="N46" i="1"/>
  <c r="M46" i="1"/>
  <c r="M47" i="1"/>
  <c r="P46" i="1"/>
  <c r="P47" i="1"/>
  <c r="K47" i="1"/>
  <c r="K46" i="1"/>
  <c r="L46" i="1"/>
  <c r="L47" i="1"/>
</calcChain>
</file>

<file path=xl/sharedStrings.xml><?xml version="1.0" encoding="utf-8"?>
<sst xmlns="http://schemas.openxmlformats.org/spreadsheetml/2006/main" count="171" uniqueCount="149">
  <si>
    <t>ITEM</t>
  </si>
  <si>
    <t>EXPLANATION</t>
  </si>
  <si>
    <t>PRICE PER</t>
  </si>
  <si>
    <t>YOUR</t>
  </si>
  <si>
    <t>UNIT</t>
  </si>
  <si>
    <t>BUDGET</t>
  </si>
  <si>
    <t>Alfalfa Hay - High Quality</t>
  </si>
  <si>
    <t>of yield</t>
  </si>
  <si>
    <t>/ton</t>
  </si>
  <si>
    <t>Alfalfa Hay - Lower Quality</t>
  </si>
  <si>
    <t>Total Alfalfa Receipts</t>
  </si>
  <si>
    <t>VARIABLE  COSTS</t>
  </si>
  <si>
    <t xml:space="preserve"> pounds</t>
  </si>
  <si>
    <t>/lb</t>
  </si>
  <si>
    <t>Lime(ton)</t>
  </si>
  <si>
    <t>mo</t>
  </si>
  <si>
    <t>TOTAL VARIABLE COSTS</t>
  </si>
  <si>
    <t>-Per Acre</t>
  </si>
  <si>
    <t>-Per Ton</t>
  </si>
  <si>
    <t>FIXED COSTS</t>
  </si>
  <si>
    <t>hours</t>
  </si>
  <si>
    <t>/hour</t>
  </si>
  <si>
    <t>Management Charge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</si>
  <si>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</si>
  <si>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</si>
  <si>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</si>
  <si>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</si>
  <si>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</si>
  <si>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assumed to be harvested at optimum maturity and condition.  Lower quality alfalfa is assumed to be harvested </t>
  </si>
  <si>
    <t>at less than optimum maturity and/or condition. 60% of crop is assumed to be harvested at optimum conditions.</t>
  </si>
  <si>
    <t>Expenses associated with seeding are prorated over the four-year stand life.</t>
  </si>
  <si>
    <t xml:space="preserve">Annual application of maintenance fertilizer. 5-10 lb. of N. could be added at seeding. </t>
  </si>
  <si>
    <t>vary over time and by area.  Check with local sources for current prices.</t>
  </si>
  <si>
    <t>See table below for specific calculations.</t>
  </si>
  <si>
    <t>Includes twine, other supplies, utilities, soil tests, small tools, crop insurance, etc…</t>
  </si>
  <si>
    <t xml:space="preserve">Part or all of labor may be a variable cost if paid labor varies with acres farmed. It’s a fixed cost if labor costs  </t>
  </si>
  <si>
    <t>Seedbed preparation and seeding costs are charged at custom hire rates and prorated over 4 years.  The following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</si>
  <si>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</si>
  <si>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</si>
  <si>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</si>
  <si>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>Repairs ($/A)</t>
  </si>
  <si>
    <r>
      <t>YIELD (ton/A)</t>
    </r>
    <r>
      <rPr>
        <b/>
        <vertAlign val="superscript"/>
        <sz val="10"/>
        <rFont val="Arial"/>
        <family val="2"/>
      </rPr>
      <t xml:space="preserve">  2</t>
    </r>
  </si>
  <si>
    <r>
      <t xml:space="preserve">RECEIPTS </t>
    </r>
    <r>
      <rPr>
        <b/>
        <vertAlign val="superscript"/>
        <sz val="10"/>
        <rFont val="Arial"/>
        <family val="2"/>
      </rPr>
      <t>3</t>
    </r>
  </si>
  <si>
    <r>
      <t xml:space="preserve">Seed </t>
    </r>
    <r>
      <rPr>
        <vertAlign val="superscript"/>
        <sz val="10"/>
        <rFont val="Arial"/>
        <family val="2"/>
      </rPr>
      <t>4</t>
    </r>
  </si>
  <si>
    <r>
      <t xml:space="preserve">Fertilizer 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</si>
  <si>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</si>
  <si>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</si>
  <si>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</si>
  <si>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 xml:space="preserve">Fuel, Oil, Grease </t>
    </r>
    <r>
      <rPr>
        <vertAlign val="superscript"/>
        <sz val="10"/>
        <rFont val="Arial"/>
        <family val="2"/>
      </rPr>
      <t>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</si>
  <si>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</si>
  <si>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Miscellaneous </t>
    </r>
    <r>
      <rPr>
        <vertAlign val="superscript"/>
        <sz val="10"/>
        <rFont val="Arial"/>
        <family val="2"/>
      </rPr>
      <t>9</t>
    </r>
  </si>
  <si>
    <r>
      <t xml:space="preserve">Int. on Oper. Cap. </t>
    </r>
    <r>
      <rPr>
        <vertAlign val="superscript"/>
        <sz val="10"/>
        <rFont val="Arial"/>
        <family val="2"/>
      </rPr>
      <t>10</t>
    </r>
  </si>
  <si>
    <t>Machinery Cost</t>
  </si>
  <si>
    <t>Acres per Year</t>
  </si>
  <si>
    <t>Cost per Acre</t>
  </si>
  <si>
    <t>Acres/ Hr</t>
  </si>
  <si>
    <t>Fuel*        (gal/A)</t>
  </si>
  <si>
    <t>-----</t>
  </si>
  <si>
    <t>Pickup Truck (1/2)**</t>
  </si>
  <si>
    <t>Fuel</t>
  </si>
  <si>
    <t>Machinery and Equipment Charge per Acre</t>
  </si>
  <si>
    <t>F&amp;L</t>
  </si>
  <si>
    <t>Repairs</t>
  </si>
  <si>
    <t>Price of Diesel Fuel =</t>
  </si>
  <si>
    <t>Years 2-4</t>
  </si>
  <si>
    <r>
      <t xml:space="preserve">Spring Seeding - 4 Year Stand </t>
    </r>
    <r>
      <rPr>
        <b/>
        <vertAlign val="superscript"/>
        <sz val="12"/>
        <rFont val="Arial"/>
        <family val="2"/>
      </rPr>
      <t>1</t>
    </r>
  </si>
  <si>
    <t xml:space="preserve">Assumes a 2.5 ton yield in seeding year; yields of approximately 4, 6, or 8 tons in years 2 through 4 </t>
  </si>
  <si>
    <t>See table below for specific calculations. Lubrication costs are assumed to be 10% of fuel costs.</t>
  </si>
  <si>
    <r>
      <t>Custom Hire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</si>
  <si>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 xml:space="preserve"> 12</t>
    </r>
  </si>
  <si>
    <r>
      <t xml:space="preserve">Labor Charge </t>
    </r>
    <r>
      <rPr>
        <vertAlign val="superscript"/>
        <sz val="10"/>
        <rFont val="Arial"/>
        <family val="2"/>
      </rPr>
      <t>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</si>
  <si>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</si>
  <si>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r>
      <t xml:space="preserve">Seedbed Preparation/Seeding Costs - Custom Hire  </t>
    </r>
    <r>
      <rPr>
        <vertAlign val="superscript"/>
        <sz val="10"/>
        <rFont val="Arial"/>
        <family val="2"/>
      </rPr>
      <t>14</t>
    </r>
  </si>
  <si>
    <r>
      <t xml:space="preserve">Land Charge </t>
    </r>
    <r>
      <rPr>
        <vertAlign val="superscript"/>
        <sz val="10"/>
        <rFont val="Arial"/>
        <family val="2"/>
      </rPr>
      <t>15</t>
    </r>
  </si>
  <si>
    <t>Harvest Machinery and Equipment Inventory</t>
  </si>
  <si>
    <t xml:space="preserve">Machinery and Equipment charge = </t>
  </si>
  <si>
    <r>
      <t>Year 1</t>
    </r>
    <r>
      <rPr>
        <b/>
        <vertAlign val="superscript"/>
        <sz val="10"/>
        <rFont val="Arial"/>
        <family val="2"/>
      </rPr>
      <t>2</t>
    </r>
  </si>
  <si>
    <t xml:space="preserve">Soil test values of CEC=20, P=25 ppm, K=150 ppm. Fertilizer prices </t>
  </si>
  <si>
    <t>Lime applied prior to seeding - 2 Tons prorated over the 4 year period; 0.5 ton per year.</t>
  </si>
  <si>
    <t>PROD.</t>
  </si>
  <si>
    <t>Numbers</t>
  </si>
  <si>
    <t>Assumes MAP(11-52-0):</t>
  </si>
  <si>
    <t>Potash(0-0-60):</t>
  </si>
  <si>
    <t>Fertilizer Spreader</t>
  </si>
  <si>
    <t>Updated:</t>
  </si>
  <si>
    <t xml:space="preserve">do not change with acres farmed. </t>
  </si>
  <si>
    <t>Hay Baler - PTO Twine 12 Ft.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</si>
  <si>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</si>
  <si>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</si>
  <si>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</si>
  <si>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</si>
  <si>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</si>
  <si>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</si>
  <si>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</si>
  <si>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</si>
  <si>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</si>
  <si>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</si>
  <si>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</si>
  <si>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</si>
  <si>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</si>
  <si>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Acres/Year</t>
  </si>
  <si>
    <t>Hours / Year</t>
  </si>
  <si>
    <r>
      <t xml:space="preserve">RETURN TO LABOR AND MANAGEMENT </t>
    </r>
    <r>
      <rPr>
        <b/>
        <vertAlign val="superscript"/>
        <sz val="10"/>
        <rFont val="Arial"/>
        <family val="2"/>
      </rPr>
      <t>15</t>
    </r>
  </si>
  <si>
    <t>Land charges vary throughout the state, check your local rates.</t>
  </si>
  <si>
    <t>See the reference online at:</t>
  </si>
  <si>
    <t>Mower/Cond. 12 ft.</t>
  </si>
  <si>
    <t>http://faculty.apec.umn.edu/wlazarus/documents/machdata.pdf</t>
  </si>
  <si>
    <t>Machinery cost estimates, fuel estimates and cost calculations based on information from "Machinery Cost Estimates", May 2011.</t>
  </si>
  <si>
    <t>**Pickup truck assumed to be used equipment.</t>
  </si>
  <si>
    <t xml:space="preserve">Machines are all assumed to be new and in the first year of use (Except for pickup truck). </t>
  </si>
  <si>
    <t xml:space="preserve">Based on 86% DM alfalfa hay.  Alfalfa hay quality will often vary over the growing season.  High quality alfalfa is </t>
  </si>
  <si>
    <t>Year 1 Fertilizer application rates assumed to be at the 4.0 ton yield goal.</t>
  </si>
  <si>
    <t>Interest charged for 6 months at 4.5% interest rate.</t>
  </si>
  <si>
    <t>Custom hire includes: 8 chemical sprays over 4 year period @ $6.20/acre = $49.60/acre/4 years = $12.40/acre</t>
  </si>
  <si>
    <t>Average based on "Ohio Cropland Values and Cash Rents" factsheet</t>
  </si>
  <si>
    <t>Land charge in year 1 assumes you are budgeting for soil productivity capabilities of 4 ton/acre.</t>
  </si>
  <si>
    <t>Salvage values are based on ASAE formulas.</t>
  </si>
  <si>
    <t>Seeding year: $34/acre (2 qts/a of Butyrac 200, 7 oz/a of Select, 1.6 oz/a of Baythroid)</t>
  </si>
  <si>
    <t>Year 2: $11.25/acre (Baythroid at 2.5 oz/a for alfalfa weevil and 1.6 oz/acre for potato leafhopper)</t>
  </si>
  <si>
    <t>Year 3: $9/acre (Baythroid at 1.6 oz/a for PLH, 2 treatments).</t>
  </si>
  <si>
    <t>Year 4: $22/acre (metribuzin at 1 lb/a and Baythroid at 1.6 oz/a for PLH).</t>
  </si>
  <si>
    <t>Year 2-4 Avg. = $14.08</t>
  </si>
  <si>
    <t>*Fuel calculations are based on the implement plus tractor. Four cuttings assumed.</t>
  </si>
  <si>
    <t>Prepared by:</t>
  </si>
  <si>
    <t>Hay Wagons (4)</t>
  </si>
  <si>
    <r>
      <t>Hauling</t>
    </r>
    <r>
      <rPr>
        <vertAlign val="superscript"/>
        <sz val="10"/>
        <rFont val="Arial"/>
        <family val="2"/>
      </rPr>
      <t>11a</t>
    </r>
  </si>
  <si>
    <t>11a</t>
  </si>
  <si>
    <t>/gal Diesel</t>
  </si>
  <si>
    <t>miles</t>
  </si>
  <si>
    <t>Hauling assumes 3.5 tons per wagon. 6 miles/gallon for Truck. Lube/Oil is 10% of fuel cost.</t>
  </si>
  <si>
    <t>Cost per acre = Machinery cost (new cost) assumes 8 year useful life using straight line depreciation,</t>
  </si>
  <si>
    <t xml:space="preserve">Reflects 2000 crop acres including 200 acres of alfalfa hay, 200 acres alfalfa haylage, 200 acres corn silage. </t>
  </si>
  <si>
    <t xml:space="preserve">years (depending on soil productivity). </t>
  </si>
  <si>
    <t>OSU Extension Enterprise Budgets can be found online at:</t>
  </si>
  <si>
    <t>http://aede.osu.edu/programs/farmmanagement/budgets</t>
  </si>
  <si>
    <t>See table below for details.</t>
  </si>
  <si>
    <t xml:space="preserve">Machinery charges based on 4 cuttings per year, spring seeding year charges at 50% of annual costs based on two cuttings.  </t>
  </si>
  <si>
    <t>Hay Rake - 30'</t>
  </si>
  <si>
    <t>rates per acre are included: Chisel Plow $15.10, Field Cultivate-$11.30, Cultimulch-$14.20, Seeding-$15.40 = $56.00.</t>
  </si>
  <si>
    <t>$56.00 divided by 4 years = $14.00/acre</t>
  </si>
  <si>
    <t xml:space="preserve">Authors: Barry Ward, Mark Sulc, Dianne Shoemaker, Trey Miller* </t>
  </si>
  <si>
    <t>5.0 % Interest on average value, 0.5% Insurance cost on average value and 1.0% Housing cost on average value.</t>
  </si>
  <si>
    <t xml:space="preserve"> Does not include storage costs.</t>
  </si>
  <si>
    <t>2013 ALFALFA HAY PRODUCTION BUDGET</t>
  </si>
  <si>
    <t>AEDE Undergraduate Student</t>
  </si>
  <si>
    <t>*Leader, Production Business Management; Extension Forage Specialist; Extension Dairy Field Specialist;</t>
  </si>
  <si>
    <t>310 HP Tractor</t>
  </si>
  <si>
    <t>360 HP Tractor</t>
  </si>
  <si>
    <t>Assumes production of 400 acres of alfalfa hay (total farm size: 2000 acres).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</si>
</sst>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72" formatCode="0.0%"/>
    <numFmt numFmtId="176" formatCode="_(* #,##0_);_(* \(#,##0\);_(* &quot;-&quot;??_);_(@_)"/>
    <numFmt numFmtId="198" formatCode="&quot;$&quot;#,##0.000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5" fillId="0" borderId="0" xfId="0" applyFont="1"/>
    <xf numFmtId="166" fontId="3" fillId="0" borderId="0" xfId="0" applyNumberFormat="1" applyFont="1"/>
    <xf numFmtId="172" fontId="3" fillId="0" borderId="0" xfId="0" applyNumberFormat="1" applyFont="1"/>
    <xf numFmtId="0" fontId="3" fillId="0" borderId="3" xfId="0" applyFont="1" applyBorder="1"/>
    <xf numFmtId="49" fontId="5" fillId="0" borderId="0" xfId="0" applyNumberFormat="1" applyFont="1"/>
    <xf numFmtId="0" fontId="5" fillId="0" borderId="2" xfId="0" applyFont="1" applyBorder="1"/>
    <xf numFmtId="1" fontId="3" fillId="0" borderId="2" xfId="0" applyNumberFormat="1" applyFont="1" applyBorder="1"/>
    <xf numFmtId="2" fontId="3" fillId="0" borderId="0" xfId="0" applyNumberFormat="1" applyFont="1" applyBorder="1"/>
    <xf numFmtId="0" fontId="8" fillId="0" borderId="0" xfId="0" applyFont="1"/>
    <xf numFmtId="1" fontId="0" fillId="0" borderId="0" xfId="0" applyNumberFormat="1"/>
    <xf numFmtId="166" fontId="12" fillId="2" borderId="0" xfId="0" applyNumberFormat="1" applyFont="1" applyFill="1" applyAlignment="1">
      <alignment horizontal="center"/>
    </xf>
    <xf numFmtId="2" fontId="0" fillId="0" borderId="0" xfId="0" applyNumberFormat="1"/>
    <xf numFmtId="0" fontId="11" fillId="0" borderId="0" xfId="0" applyFont="1"/>
    <xf numFmtId="2" fontId="5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2" applyNumberFormat="1" applyFont="1" applyFill="1" applyBorder="1" applyAlignment="1">
      <alignment horizontal="center"/>
    </xf>
    <xf numFmtId="3" fontId="12" fillId="2" borderId="2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2" fontId="12" fillId="0" borderId="2" xfId="0" quotePrefix="1" applyNumberFormat="1" applyFont="1" applyBorder="1" applyAlignment="1">
      <alignment horizontal="center"/>
    </xf>
    <xf numFmtId="9" fontId="12" fillId="0" borderId="0" xfId="4" applyFont="1"/>
    <xf numFmtId="0" fontId="12" fillId="0" borderId="0" xfId="0" applyFont="1" applyAlignment="1">
      <alignment horizontal="center"/>
    </xf>
    <xf numFmtId="165" fontId="0" fillId="0" borderId="0" xfId="0" applyNumberFormat="1"/>
    <xf numFmtId="0" fontId="13" fillId="0" borderId="0" xfId="0" applyFont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176" fontId="13" fillId="0" borderId="0" xfId="1" applyNumberFormat="1" applyFont="1" applyAlignment="1">
      <alignment horizontal="center"/>
    </xf>
    <xf numFmtId="165" fontId="13" fillId="3" borderId="0" xfId="0" applyNumberFormat="1" applyFont="1" applyFill="1" applyAlignment="1">
      <alignment horizontal="center"/>
    </xf>
    <xf numFmtId="9" fontId="13" fillId="0" borderId="0" xfId="4" applyFont="1" applyAlignment="1">
      <alignment horizontal="right"/>
    </xf>
    <xf numFmtId="9" fontId="12" fillId="0" borderId="0" xfId="4" applyFont="1" applyAlignment="1">
      <alignment horizontal="right"/>
    </xf>
    <xf numFmtId="176" fontId="12" fillId="0" borderId="0" xfId="1" applyNumberFormat="1" applyFont="1"/>
    <xf numFmtId="2" fontId="13" fillId="0" borderId="0" xfId="0" applyNumberFormat="1" applyFont="1"/>
    <xf numFmtId="176" fontId="13" fillId="0" borderId="0" xfId="0" applyNumberFormat="1" applyFont="1" applyAlignment="1">
      <alignment horizontal="right"/>
    </xf>
    <xf numFmtId="7" fontId="13" fillId="2" borderId="0" xfId="2" applyNumberFormat="1" applyFont="1" applyFill="1"/>
    <xf numFmtId="164" fontId="12" fillId="2" borderId="0" xfId="0" quotePrefix="1" applyNumberFormat="1" applyFont="1" applyFill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4" fontId="3" fillId="0" borderId="3" xfId="0" quotePrefix="1" applyNumberFormat="1" applyFont="1" applyBorder="1"/>
    <xf numFmtId="4" fontId="3" fillId="0" borderId="5" xfId="0" applyNumberFormat="1" applyFon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176" fontId="3" fillId="0" borderId="0" xfId="1" applyNumberFormat="1" applyFont="1" applyBorder="1"/>
    <xf numFmtId="2" fontId="5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7" fontId="5" fillId="0" borderId="0" xfId="2" applyNumberFormat="1" applyFont="1" applyBorder="1"/>
    <xf numFmtId="176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/>
    <xf numFmtId="176" fontId="12" fillId="0" borderId="0" xfId="0" applyNumberFormat="1" applyFont="1" applyAlignment="1">
      <alignment horizontal="right"/>
    </xf>
    <xf numFmtId="2" fontId="12" fillId="0" borderId="0" xfId="0" applyNumberFormat="1" applyFont="1"/>
    <xf numFmtId="2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164" fontId="5" fillId="2" borderId="2" xfId="0" applyNumberFormat="1" applyFont="1" applyFill="1" applyBorder="1"/>
    <xf numFmtId="4" fontId="5" fillId="3" borderId="0" xfId="0" applyNumberFormat="1" applyFont="1" applyFill="1"/>
    <xf numFmtId="4" fontId="5" fillId="3" borderId="3" xfId="0" applyNumberFormat="1" applyFont="1" applyFill="1" applyBorder="1"/>
    <xf numFmtId="4" fontId="5" fillId="0" borderId="0" xfId="0" applyNumberFormat="1" applyFont="1"/>
    <xf numFmtId="4" fontId="5" fillId="0" borderId="3" xfId="0" quotePrefix="1" applyNumberFormat="1" applyFont="1" applyBorder="1"/>
    <xf numFmtId="9" fontId="15" fillId="2" borderId="0" xfId="4" applyFont="1" applyFill="1"/>
    <xf numFmtId="166" fontId="15" fillId="2" borderId="0" xfId="0" applyNumberFormat="1" applyFont="1" applyFill="1"/>
    <xf numFmtId="0" fontId="15" fillId="2" borderId="0" xfId="0" applyFont="1" applyFill="1"/>
    <xf numFmtId="172" fontId="15" fillId="2" borderId="0" xfId="0" applyNumberFormat="1" applyFont="1" applyFill="1"/>
    <xf numFmtId="4" fontId="5" fillId="4" borderId="0" xfId="0" applyNumberFormat="1" applyFont="1" applyFill="1"/>
    <xf numFmtId="0" fontId="5" fillId="0" borderId="2" xfId="0" applyFont="1" applyBorder="1" applyAlignment="1">
      <alignment horizontal="center"/>
    </xf>
    <xf numFmtId="2" fontId="5" fillId="0" borderId="0" xfId="0" applyNumberFormat="1" applyFont="1"/>
    <xf numFmtId="4" fontId="5" fillId="0" borderId="0" xfId="0" applyNumberFormat="1" applyFont="1" applyFill="1"/>
    <xf numFmtId="9" fontId="0" fillId="0" borderId="0" xfId="0" applyNumberFormat="1"/>
    <xf numFmtId="0" fontId="12" fillId="0" borderId="0" xfId="0" quotePrefix="1" applyFont="1"/>
    <xf numFmtId="0" fontId="0" fillId="5" borderId="0" xfId="0" applyFill="1" applyBorder="1"/>
    <xf numFmtId="164" fontId="12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0" fillId="0" borderId="2" xfId="0" applyNumberFormat="1" applyBorder="1"/>
    <xf numFmtId="2" fontId="12" fillId="3" borderId="1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39" fontId="12" fillId="3" borderId="2" xfId="0" applyNumberFormat="1" applyFont="1" applyFill="1" applyBorder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0" xfId="0" applyNumberFormat="1" applyFill="1" applyBorder="1"/>
    <xf numFmtId="0" fontId="0" fillId="0" borderId="2" xfId="0" applyBorder="1"/>
    <xf numFmtId="2" fontId="0" fillId="0" borderId="0" xfId="0" applyNumberFormat="1" applyAlignment="1">
      <alignment horizontal="center" wrapText="1"/>
    </xf>
    <xf numFmtId="165" fontId="0" fillId="3" borderId="2" xfId="0" applyNumberFormat="1" applyFill="1" applyBorder="1" applyAlignment="1">
      <alignment horizontal="center"/>
    </xf>
    <xf numFmtId="2" fontId="0" fillId="0" borderId="0" xfId="0" quotePrefix="1" applyNumberFormat="1"/>
    <xf numFmtId="0" fontId="2" fillId="0" borderId="0" xfId="3" applyAlignment="1" applyProtection="1"/>
    <xf numFmtId="165" fontId="15" fillId="2" borderId="0" xfId="0" applyNumberFormat="1" applyFont="1" applyFill="1"/>
    <xf numFmtId="166" fontId="12" fillId="2" borderId="0" xfId="0" applyNumberFormat="1" applyFont="1" applyFill="1"/>
    <xf numFmtId="166" fontId="12" fillId="2" borderId="0" xfId="0" quotePrefix="1" applyNumberFormat="1" applyFont="1" applyFill="1"/>
    <xf numFmtId="0" fontId="12" fillId="0" borderId="0" xfId="0" applyFont="1" applyBorder="1"/>
    <xf numFmtId="0" fontId="3" fillId="0" borderId="0" xfId="0" quotePrefix="1" applyFont="1"/>
    <xf numFmtId="165" fontId="5" fillId="2" borderId="0" xfId="0" applyNumberFormat="1" applyFont="1" applyFill="1"/>
    <xf numFmtId="1" fontId="5" fillId="2" borderId="0" xfId="0" applyNumberFormat="1" applyFont="1" applyFill="1"/>
    <xf numFmtId="2" fontId="5" fillId="6" borderId="0" xfId="0" applyNumberFormat="1" applyFont="1" applyFill="1"/>
    <xf numFmtId="4" fontId="5" fillId="7" borderId="0" xfId="0" applyNumberFormat="1" applyFont="1" applyFill="1"/>
    <xf numFmtId="0" fontId="2" fillId="0" borderId="0" xfId="3" applyBorder="1" applyAlignment="1" applyProtection="1"/>
    <xf numFmtId="198" fontId="15" fillId="2" borderId="0" xfId="0" applyNumberFormat="1" applyFont="1" applyFill="1"/>
    <xf numFmtId="2" fontId="0" fillId="3" borderId="2" xfId="0" applyNumberFormat="1" applyFill="1" applyBorder="1"/>
    <xf numFmtId="14" fontId="5" fillId="0" borderId="0" xfId="0" applyNumberFormat="1" applyFont="1" applyAlignment="1"/>
    <xf numFmtId="0" fontId="5" fillId="0" borderId="0" xfId="0" applyFont="1" applyAlignment="1"/>
    <xf numFmtId="2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2</xdr:col>
      <xdr:colOff>419100</xdr:colOff>
      <xdr:row>4</xdr:row>
      <xdr:rowOff>63500</xdr:rowOff>
    </xdr:to>
    <xdr:pic>
      <xdr:nvPicPr>
        <xdr:cNvPr id="1233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95250"/>
          <a:ext cx="66040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ede.osu.edu/programs/farmmanagement/budgets" TargetMode="External"/><Relationship Id="rId2" Type="http://schemas.openxmlformats.org/officeDocument/2006/relationships/hyperlink" Target="http://faculty.apec.umn.edu/wlazarus/documents/machdata.pdf" TargetMode="External"/><Relationship Id="rId1" Type="http://schemas.openxmlformats.org/officeDocument/2006/relationships/hyperlink" Target="http://aede.osu.edu/resources/docs/pdf/UDSIO6SG-9315-IQAW-X7QLG33KLHMNAZZ6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7"/>
  <sheetViews>
    <sheetView tabSelected="1" view="pageBreakPreview" zoomScaleNormal="100" zoomScaleSheetLayoutView="100" workbookViewId="0">
      <selection activeCell="C2" sqref="C2:N2"/>
    </sheetView>
  </sheetViews>
  <sheetFormatPr defaultRowHeight="12.5" x14ac:dyDescent="0.25"/>
  <cols>
    <col min="1" max="2" width="2.7265625" customWidth="1"/>
    <col min="4" max="4" width="6.54296875" customWidth="1"/>
    <col min="5" max="5" width="7.54296875" customWidth="1"/>
    <col min="6" max="6" width="8.81640625" customWidth="1"/>
    <col min="7" max="9" width="7.54296875" customWidth="1"/>
    <col min="10" max="10" width="7.26953125" customWidth="1"/>
    <col min="11" max="11" width="8.1796875" customWidth="1"/>
    <col min="12" max="12" width="7.26953125" style="25" customWidth="1"/>
    <col min="13" max="13" width="8.453125" style="25" customWidth="1"/>
    <col min="14" max="14" width="8.26953125" style="25" customWidth="1"/>
    <col min="15" max="15" width="0.81640625" customWidth="1"/>
    <col min="16" max="16" width="9.54296875" customWidth="1"/>
    <col min="17" max="17" width="9.7265625" customWidth="1"/>
    <col min="18" max="18" width="9.26953125" bestFit="1" customWidth="1"/>
  </cols>
  <sheetData>
    <row r="1" spans="1:18" ht="13" x14ac:dyDescent="0.3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3"/>
      <c r="M1" s="3"/>
      <c r="N1" s="3"/>
      <c r="O1" s="1"/>
      <c r="P1" s="1"/>
    </row>
    <row r="2" spans="1:18" ht="15.5" x14ac:dyDescent="0.35">
      <c r="A2" s="1"/>
      <c r="B2" s="1"/>
      <c r="C2" s="149" t="s">
        <v>143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"/>
      <c r="P2" s="4"/>
    </row>
    <row r="3" spans="1:18" ht="17.5" x14ac:dyDescent="0.35">
      <c r="A3" s="1"/>
      <c r="B3" s="1"/>
      <c r="C3" s="149" t="s">
        <v>65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"/>
      <c r="P3" s="1"/>
    </row>
    <row r="4" spans="1:18" ht="13" x14ac:dyDescent="0.3">
      <c r="A4" s="1"/>
      <c r="B4" s="1"/>
      <c r="C4" s="1"/>
      <c r="D4" s="144"/>
      <c r="E4" s="145"/>
      <c r="F4" s="145"/>
      <c r="G4" s="145"/>
      <c r="H4" s="145"/>
      <c r="I4" s="145"/>
      <c r="J4" s="145"/>
      <c r="K4" s="145"/>
      <c r="L4" s="145"/>
      <c r="M4" s="101" t="s">
        <v>84</v>
      </c>
      <c r="N4" s="127"/>
      <c r="O4" s="141">
        <v>41347</v>
      </c>
      <c r="P4" s="142"/>
    </row>
    <row r="5" spans="1:18" ht="15.75" customHeight="1" x14ac:dyDescent="0.35">
      <c r="A5" s="1"/>
      <c r="B5" s="1"/>
      <c r="C5" s="1"/>
      <c r="D5" s="147"/>
      <c r="E5" s="147"/>
      <c r="F5" s="147"/>
      <c r="G5" s="147"/>
      <c r="H5" s="147"/>
      <c r="I5" s="147"/>
      <c r="J5" s="147"/>
      <c r="K5" s="147"/>
      <c r="L5" s="147"/>
      <c r="M5" s="83"/>
      <c r="N5" s="3"/>
      <c r="O5" s="1"/>
      <c r="P5" s="1"/>
    </row>
    <row r="6" spans="1:18" ht="15" x14ac:dyDescent="0.3">
      <c r="A6" s="150" t="s">
        <v>0</v>
      </c>
      <c r="B6" s="150"/>
      <c r="C6" s="150"/>
      <c r="D6" s="6"/>
      <c r="E6" s="6"/>
      <c r="F6" s="150" t="s">
        <v>1</v>
      </c>
      <c r="G6" s="150"/>
      <c r="H6" s="5" t="s">
        <v>3</v>
      </c>
      <c r="I6" s="150" t="s">
        <v>2</v>
      </c>
      <c r="J6" s="150"/>
      <c r="K6" s="5"/>
      <c r="L6" s="146" t="s">
        <v>41</v>
      </c>
      <c r="M6" s="146"/>
      <c r="N6" s="146"/>
      <c r="O6" s="7"/>
      <c r="P6" s="5" t="s">
        <v>3</v>
      </c>
    </row>
    <row r="7" spans="1:18" ht="15" x14ac:dyDescent="0.3">
      <c r="A7" s="8"/>
      <c r="B7" s="8"/>
      <c r="C7" s="8"/>
      <c r="D7" s="8"/>
      <c r="E7" s="8"/>
      <c r="F7" s="8"/>
      <c r="G7" s="8"/>
      <c r="H7" s="9" t="s">
        <v>79</v>
      </c>
      <c r="I7" s="151" t="s">
        <v>4</v>
      </c>
      <c r="J7" s="151"/>
      <c r="K7" s="9" t="s">
        <v>76</v>
      </c>
      <c r="L7" s="152" t="s">
        <v>64</v>
      </c>
      <c r="M7" s="152"/>
      <c r="N7" s="152"/>
      <c r="O7" s="10"/>
      <c r="P7" s="9" t="s">
        <v>5</v>
      </c>
    </row>
    <row r="8" spans="1:18" ht="13" x14ac:dyDescent="0.3">
      <c r="A8" s="11"/>
      <c r="B8" s="11"/>
      <c r="C8" s="11"/>
      <c r="D8" s="11"/>
      <c r="E8" s="11"/>
      <c r="F8" s="11"/>
      <c r="G8" s="11"/>
      <c r="H8" s="100" t="s">
        <v>80</v>
      </c>
      <c r="I8" s="11"/>
      <c r="J8" s="11"/>
      <c r="K8" s="19">
        <v>2.5</v>
      </c>
      <c r="L8" s="12">
        <v>4</v>
      </c>
      <c r="M8" s="12">
        <v>6</v>
      </c>
      <c r="N8" s="12">
        <v>8</v>
      </c>
      <c r="O8" s="11"/>
      <c r="P8" s="90">
        <v>8</v>
      </c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3"/>
      <c r="M9" s="13"/>
      <c r="N9" s="13"/>
      <c r="O9" s="1"/>
      <c r="P9" s="1"/>
    </row>
    <row r="10" spans="1:18" ht="15" x14ac:dyDescent="0.3">
      <c r="A10" s="14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1"/>
      <c r="P10" s="1"/>
    </row>
    <row r="11" spans="1:18" ht="13" x14ac:dyDescent="0.3">
      <c r="A11" s="1"/>
      <c r="B11" s="1" t="s">
        <v>6</v>
      </c>
      <c r="C11" s="1"/>
      <c r="D11" s="1"/>
      <c r="E11" s="1"/>
      <c r="F11" s="95">
        <v>0.6</v>
      </c>
      <c r="G11" s="1" t="s">
        <v>7</v>
      </c>
      <c r="H11" s="1"/>
      <c r="I11" s="96">
        <v>250</v>
      </c>
      <c r="J11" s="1" t="s">
        <v>8</v>
      </c>
      <c r="K11" s="67">
        <f>+K8*$F$11*$I$11</f>
        <v>375</v>
      </c>
      <c r="L11" s="67">
        <f>+L8*$F$11*$I$11</f>
        <v>600</v>
      </c>
      <c r="M11" s="67">
        <f>+M8*$F$11*$I$11</f>
        <v>899.99999999999989</v>
      </c>
      <c r="N11" s="67">
        <f>+N8*$F$11*$I$11</f>
        <v>1200</v>
      </c>
      <c r="O11" s="1"/>
      <c r="P11" s="91">
        <f>+P8*$F$11*$I$11</f>
        <v>1200</v>
      </c>
    </row>
    <row r="12" spans="1:18" ht="13" x14ac:dyDescent="0.3">
      <c r="A12" s="1"/>
      <c r="B12" s="1" t="s">
        <v>9</v>
      </c>
      <c r="C12" s="1"/>
      <c r="D12" s="1"/>
      <c r="E12" s="1"/>
      <c r="F12" s="95">
        <v>0.4</v>
      </c>
      <c r="G12" s="1" t="s">
        <v>7</v>
      </c>
      <c r="H12" s="1"/>
      <c r="I12" s="96">
        <v>200</v>
      </c>
      <c r="J12" s="1" t="s">
        <v>8</v>
      </c>
      <c r="K12" s="68">
        <f>+K8*$I$12*$F$12</f>
        <v>200</v>
      </c>
      <c r="L12" s="68">
        <f>+L8*$I$12*$F$12</f>
        <v>320</v>
      </c>
      <c r="M12" s="68">
        <f>+M8*$I$12*$F$12</f>
        <v>480</v>
      </c>
      <c r="N12" s="68">
        <f>+N8*$I$12*$F$12</f>
        <v>640</v>
      </c>
      <c r="O12" s="1"/>
      <c r="P12" s="92">
        <f>+P8*$I$12*$F$12</f>
        <v>640</v>
      </c>
    </row>
    <row r="13" spans="1:18" ht="13" x14ac:dyDescent="0.3">
      <c r="A13" s="1"/>
      <c r="B13" s="1" t="s">
        <v>10</v>
      </c>
      <c r="C13" s="1"/>
      <c r="D13" s="1"/>
      <c r="E13" s="1"/>
      <c r="F13" s="1"/>
      <c r="G13" s="1"/>
      <c r="H13" s="1"/>
      <c r="I13" s="15"/>
      <c r="J13" s="1"/>
      <c r="K13" s="67">
        <f>+K11+K12</f>
        <v>575</v>
      </c>
      <c r="L13" s="67">
        <f>+L11+L12</f>
        <v>920</v>
      </c>
      <c r="M13" s="67">
        <f>+M11+M12</f>
        <v>1380</v>
      </c>
      <c r="N13" s="67">
        <f>+N11+N12</f>
        <v>1840</v>
      </c>
      <c r="O13" s="1"/>
      <c r="P13" s="91">
        <f>+P11+P12</f>
        <v>1840</v>
      </c>
      <c r="R13" s="105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67"/>
      <c r="L14" s="67"/>
      <c r="M14" s="67"/>
      <c r="N14" s="67"/>
      <c r="O14" s="1"/>
      <c r="P14" s="67"/>
    </row>
    <row r="15" spans="1:18" ht="13" x14ac:dyDescent="0.3">
      <c r="A15" s="14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67"/>
      <c r="L15" s="67"/>
      <c r="M15" s="67"/>
      <c r="N15" s="67"/>
      <c r="O15" s="1"/>
      <c r="P15" s="67"/>
    </row>
    <row r="16" spans="1:18" ht="15" x14ac:dyDescent="0.3">
      <c r="A16" s="1"/>
      <c r="B16" s="1" t="s">
        <v>43</v>
      </c>
      <c r="C16" s="1"/>
      <c r="D16" s="1"/>
      <c r="E16" s="1"/>
      <c r="F16" s="97">
        <v>15</v>
      </c>
      <c r="G16" s="1" t="s">
        <v>12</v>
      </c>
      <c r="H16" s="1"/>
      <c r="I16" s="129">
        <v>5.75</v>
      </c>
      <c r="J16" s="1" t="s">
        <v>13</v>
      </c>
      <c r="K16" s="67">
        <f>($F$16*$I$16)/4</f>
        <v>21.5625</v>
      </c>
      <c r="L16" s="67">
        <f>($F$16*$I$16)/4</f>
        <v>21.5625</v>
      </c>
      <c r="M16" s="67">
        <f>($F$16*$I$16)/4</f>
        <v>21.5625</v>
      </c>
      <c r="N16" s="67">
        <f>($F$16*$I$16)/4</f>
        <v>21.5625</v>
      </c>
      <c r="O16" s="1"/>
      <c r="P16" s="91">
        <f>($F$16*$I$16)/4</f>
        <v>21.5625</v>
      </c>
      <c r="Q16" s="103"/>
    </row>
    <row r="17" spans="1:17" ht="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67"/>
      <c r="L17" s="67"/>
      <c r="M17" s="67"/>
      <c r="N17" s="67"/>
      <c r="O17" s="1"/>
      <c r="P17" s="93"/>
    </row>
    <row r="18" spans="1:17" ht="15" x14ac:dyDescent="0.3">
      <c r="A18" s="1"/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67"/>
      <c r="L18" s="67"/>
      <c r="M18" s="67"/>
      <c r="N18" s="67"/>
      <c r="O18" s="1"/>
      <c r="P18" s="93"/>
    </row>
    <row r="19" spans="1:17" ht="15.5" x14ac:dyDescent="0.4">
      <c r="A19" s="1"/>
      <c r="B19" s="1"/>
      <c r="C19" s="1" t="s">
        <v>45</v>
      </c>
      <c r="D19" s="1"/>
      <c r="E19" s="1">
        <v>50</v>
      </c>
      <c r="F19" s="1">
        <v>85</v>
      </c>
      <c r="G19" s="1">
        <v>110</v>
      </c>
      <c r="H19" s="97">
        <v>110</v>
      </c>
      <c r="I19" s="139">
        <f>F68/1040</f>
        <v>0.625</v>
      </c>
      <c r="J19" s="1" t="s">
        <v>13</v>
      </c>
      <c r="K19" s="67">
        <f>+$I$19*E19</f>
        <v>31.25</v>
      </c>
      <c r="L19" s="67">
        <f>+$I$19*E19</f>
        <v>31.25</v>
      </c>
      <c r="M19" s="67">
        <f>+$I$19*F19</f>
        <v>53.125</v>
      </c>
      <c r="N19" s="67">
        <f>+$I$19*G19</f>
        <v>68.75</v>
      </c>
      <c r="O19" s="1"/>
      <c r="P19" s="91">
        <f>+$I$19*H19</f>
        <v>68.75</v>
      </c>
    </row>
    <row r="20" spans="1:17" ht="15.5" x14ac:dyDescent="0.4">
      <c r="A20" s="1"/>
      <c r="B20" s="1"/>
      <c r="C20" s="1" t="s">
        <v>46</v>
      </c>
      <c r="D20" s="1"/>
      <c r="E20" s="1">
        <v>220</v>
      </c>
      <c r="F20" s="1">
        <v>300</v>
      </c>
      <c r="G20" s="1">
        <v>300</v>
      </c>
      <c r="H20" s="97">
        <v>300</v>
      </c>
      <c r="I20" s="139">
        <f>J68/1200</f>
        <v>0.47916666666666669</v>
      </c>
      <c r="J20" s="1" t="s">
        <v>13</v>
      </c>
      <c r="K20" s="67">
        <f>+$I$20*E20</f>
        <v>105.41666666666667</v>
      </c>
      <c r="L20" s="67">
        <f>+$I$20*E20</f>
        <v>105.41666666666667</v>
      </c>
      <c r="M20" s="67">
        <f>+$I$20*F20</f>
        <v>143.75</v>
      </c>
      <c r="N20" s="67">
        <f>+$I$20*G20</f>
        <v>143.75</v>
      </c>
      <c r="O20" s="1"/>
      <c r="P20" s="91">
        <f>+$I$20*H20</f>
        <v>143.75</v>
      </c>
    </row>
    <row r="21" spans="1:17" ht="13" x14ac:dyDescent="0.3">
      <c r="A21" s="1"/>
      <c r="B21" s="1" t="s">
        <v>14</v>
      </c>
      <c r="C21" s="1"/>
      <c r="D21" s="1"/>
      <c r="E21" s="1"/>
      <c r="F21" s="97">
        <v>0.5</v>
      </c>
      <c r="G21" s="1"/>
      <c r="H21" s="1"/>
      <c r="I21" s="129">
        <v>25</v>
      </c>
      <c r="J21" s="1" t="s">
        <v>8</v>
      </c>
      <c r="K21" s="67">
        <f>+$F$21*$I$21</f>
        <v>12.5</v>
      </c>
      <c r="L21" s="67">
        <f>+$F$21*$I$21</f>
        <v>12.5</v>
      </c>
      <c r="M21" s="67">
        <f>+$F$21*$I$21</f>
        <v>12.5</v>
      </c>
      <c r="N21" s="67">
        <f>+$F$21*$I$21</f>
        <v>12.5</v>
      </c>
      <c r="O21" s="1"/>
      <c r="P21" s="91">
        <f>+$F$21*$I$21</f>
        <v>12.5</v>
      </c>
    </row>
    <row r="22" spans="1:17" ht="15" x14ac:dyDescent="0.3">
      <c r="A22" s="1"/>
      <c r="B22" s="1" t="s">
        <v>47</v>
      </c>
      <c r="C22" s="1"/>
      <c r="D22" s="1"/>
      <c r="E22" s="1"/>
      <c r="F22" s="1"/>
      <c r="G22" s="1"/>
      <c r="H22" s="1"/>
      <c r="I22" s="1"/>
      <c r="J22" s="1"/>
      <c r="K22" s="67">
        <v>34</v>
      </c>
      <c r="L22" s="67">
        <v>14.08</v>
      </c>
      <c r="M22" s="67">
        <v>14.08</v>
      </c>
      <c r="N22" s="67">
        <v>14.08</v>
      </c>
      <c r="O22" s="67"/>
      <c r="P22" s="137">
        <v>14.08</v>
      </c>
      <c r="Q22" s="103"/>
    </row>
    <row r="23" spans="1:17" ht="15" x14ac:dyDescent="0.3">
      <c r="A23" s="1"/>
      <c r="B23" s="1" t="s">
        <v>48</v>
      </c>
      <c r="C23" s="1"/>
      <c r="D23" s="1"/>
      <c r="E23" s="1"/>
      <c r="F23" s="1"/>
      <c r="G23" s="1"/>
      <c r="H23" s="1"/>
      <c r="I23" s="1"/>
      <c r="J23" s="1"/>
      <c r="K23" s="67">
        <f>0.5*(+$L$107)</f>
        <v>8.0311000000000003</v>
      </c>
      <c r="L23" s="67">
        <f>+$L$107</f>
        <v>16.062200000000001</v>
      </c>
      <c r="M23" s="67">
        <f>+$L$107</f>
        <v>16.062200000000001</v>
      </c>
      <c r="N23" s="67">
        <f>+$L$107</f>
        <v>16.062200000000001</v>
      </c>
      <c r="O23" s="1"/>
      <c r="P23" s="91">
        <f>+$L$107</f>
        <v>16.062200000000001</v>
      </c>
    </row>
    <row r="24" spans="1:17" ht="15" x14ac:dyDescent="0.3">
      <c r="A24" s="1"/>
      <c r="B24" s="1" t="s">
        <v>49</v>
      </c>
      <c r="C24" s="1"/>
      <c r="D24" s="1"/>
      <c r="E24" s="1"/>
      <c r="F24" s="1"/>
      <c r="G24" s="1"/>
      <c r="H24" s="1"/>
      <c r="I24" s="1"/>
      <c r="J24" s="1"/>
      <c r="K24" s="67">
        <f>0.5*($N$107)</f>
        <v>11.877978476111787</v>
      </c>
      <c r="L24" s="67">
        <f>$N$107</f>
        <v>23.755956952223574</v>
      </c>
      <c r="M24" s="67">
        <f>$N$107</f>
        <v>23.755956952223574</v>
      </c>
      <c r="N24" s="67">
        <f>$N$107</f>
        <v>23.755956952223574</v>
      </c>
      <c r="O24" s="67"/>
      <c r="P24" s="91">
        <f>$N$107</f>
        <v>23.755956952223574</v>
      </c>
    </row>
    <row r="25" spans="1:17" ht="15" x14ac:dyDescent="0.3">
      <c r="A25" s="1"/>
      <c r="B25" s="1" t="s">
        <v>50</v>
      </c>
      <c r="C25" s="1"/>
      <c r="D25" s="1"/>
      <c r="E25" s="1"/>
      <c r="F25" s="1"/>
      <c r="G25" s="1"/>
      <c r="H25" s="1"/>
      <c r="I25" s="1"/>
      <c r="J25" s="1"/>
      <c r="K25" s="67">
        <v>16</v>
      </c>
      <c r="L25" s="67">
        <v>16</v>
      </c>
      <c r="M25" s="67">
        <v>17</v>
      </c>
      <c r="N25" s="67">
        <v>18</v>
      </c>
      <c r="O25" s="1"/>
      <c r="P25" s="99">
        <v>18</v>
      </c>
    </row>
    <row r="26" spans="1:17" ht="15" x14ac:dyDescent="0.3">
      <c r="A26" s="1"/>
      <c r="B26" s="1" t="s">
        <v>51</v>
      </c>
      <c r="C26" s="1"/>
      <c r="D26" s="1"/>
      <c r="E26" s="1"/>
      <c r="F26" s="97">
        <v>6</v>
      </c>
      <c r="G26" s="1" t="s">
        <v>15</v>
      </c>
      <c r="H26" s="1"/>
      <c r="I26" s="98">
        <v>0.04</v>
      </c>
      <c r="J26" s="1"/>
      <c r="K26" s="67">
        <f>SUM(K16:K25)*I26*(F26/12)</f>
        <v>4.8127649028555695</v>
      </c>
      <c r="L26" s="67">
        <f>SUM(L16:L25)*I26*(F26/12)</f>
        <v>4.8125464723778055</v>
      </c>
      <c r="M26" s="67">
        <f>SUM(M16:M25)*I26*(F26/12)</f>
        <v>6.0367131390444717</v>
      </c>
      <c r="N26" s="67">
        <f>SUM(N16:N25)*I26*(F26/12)</f>
        <v>6.3692131390444722</v>
      </c>
      <c r="O26" s="1"/>
      <c r="P26" s="91">
        <f>SUM(P16:P25)*I26*(F26/12)</f>
        <v>6.3692131390444722</v>
      </c>
    </row>
    <row r="27" spans="1:17" ht="15" x14ac:dyDescent="0.3">
      <c r="A27" s="1"/>
      <c r="B27" s="1" t="s">
        <v>68</v>
      </c>
      <c r="C27" s="1"/>
      <c r="D27" s="1"/>
      <c r="E27" s="1"/>
      <c r="F27" s="1"/>
      <c r="G27" s="1"/>
      <c r="H27" s="1"/>
      <c r="I27" s="16"/>
      <c r="J27" s="1"/>
      <c r="K27" s="67">
        <v>12.4</v>
      </c>
      <c r="L27" s="67">
        <v>12.4</v>
      </c>
      <c r="M27" s="67">
        <v>12.4</v>
      </c>
      <c r="N27" s="67">
        <v>12.4</v>
      </c>
      <c r="O27" s="67"/>
      <c r="P27" s="99">
        <v>12.4</v>
      </c>
    </row>
    <row r="28" spans="1:17" ht="15" x14ac:dyDescent="0.3">
      <c r="A28" s="1"/>
      <c r="B28" s="1" t="s">
        <v>125</v>
      </c>
      <c r="C28" s="1"/>
      <c r="D28" s="1"/>
      <c r="E28" s="1"/>
      <c r="F28" s="134">
        <v>4</v>
      </c>
      <c r="G28" s="133" t="s">
        <v>127</v>
      </c>
      <c r="H28" s="1"/>
      <c r="I28" s="135">
        <v>20</v>
      </c>
      <c r="J28" s="1" t="s">
        <v>128</v>
      </c>
      <c r="K28" s="3">
        <f>(((($I$28/6)*$F$28)/3.5)*K8)+(((($I$28/6)*$F$28)/3.5)*K8)*0.1</f>
        <v>10.476190476190476</v>
      </c>
      <c r="L28" s="3">
        <f>(((($I$28/6)*$F$28)/3.5)*L8)+(((($I$28/6)*$F$28)/3.5)*L8)*0.1</f>
        <v>16.761904761904763</v>
      </c>
      <c r="M28" s="3">
        <f>(((($I$28/6)*$F$28)/3.5)*M8)+(((($I$28/6)*$F$28)/3.5)*M8)*0.1</f>
        <v>25.142857142857142</v>
      </c>
      <c r="N28" s="3">
        <f>(((($I$28/6)*$F$28)/3.5)*N8)+(((($I$28/6)*$F$28)/3.5)*N8)*0.1</f>
        <v>33.523809523809526</v>
      </c>
      <c r="O28" s="3"/>
      <c r="P28" s="136">
        <f>(((($I$28/6)*$F$28)/3.5)*P8)+(((($I$28/6)*$F$28)/3.5)*P8)*0.1</f>
        <v>33.523809523809526</v>
      </c>
    </row>
    <row r="29" spans="1:17" ht="15" x14ac:dyDescent="0.3">
      <c r="A29" s="1"/>
      <c r="B29" s="1" t="s">
        <v>69</v>
      </c>
      <c r="C29" s="1"/>
      <c r="D29" s="1"/>
      <c r="E29" s="1"/>
      <c r="F29" s="1"/>
      <c r="G29" s="1"/>
      <c r="H29" s="1"/>
      <c r="I29" s="1"/>
      <c r="J29" s="1"/>
      <c r="K29" s="67">
        <v>10</v>
      </c>
      <c r="L29" s="67">
        <v>10</v>
      </c>
      <c r="M29" s="67">
        <v>10</v>
      </c>
      <c r="N29" s="67">
        <v>10</v>
      </c>
      <c r="O29" s="1"/>
      <c r="P29" s="99">
        <v>10</v>
      </c>
    </row>
    <row r="30" spans="1:17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67"/>
      <c r="L30" s="69"/>
      <c r="M30" s="69"/>
      <c r="N30" s="69"/>
      <c r="O30" s="17"/>
      <c r="P30" s="94"/>
    </row>
    <row r="31" spans="1:17" ht="13" x14ac:dyDescent="0.3">
      <c r="A31" s="14" t="s">
        <v>16</v>
      </c>
      <c r="B31" s="1"/>
      <c r="C31" s="1"/>
      <c r="D31" s="1"/>
      <c r="E31" s="1"/>
      <c r="F31" s="18" t="s">
        <v>17</v>
      </c>
      <c r="G31" s="1"/>
      <c r="H31" s="1"/>
      <c r="I31" s="1"/>
      <c r="J31" s="1"/>
      <c r="K31" s="70">
        <f>SUM(K16:K30)</f>
        <v>278.32720052182452</v>
      </c>
      <c r="L31" s="67">
        <f>SUM(L16:L30)</f>
        <v>284.60177485317286</v>
      </c>
      <c r="M31" s="67">
        <f>SUM(M16:M30)</f>
        <v>355.41522723412521</v>
      </c>
      <c r="N31" s="67">
        <f>SUM(N16:N30)</f>
        <v>380.75367961507754</v>
      </c>
      <c r="O31" s="1"/>
      <c r="P31" s="91">
        <f>SUM(P16:P30)</f>
        <v>380.75367961507754</v>
      </c>
    </row>
    <row r="32" spans="1:17" ht="13" x14ac:dyDescent="0.3">
      <c r="A32" s="1"/>
      <c r="B32" s="1"/>
      <c r="C32" s="1"/>
      <c r="D32" s="1"/>
      <c r="E32" s="1"/>
      <c r="F32" s="18" t="s">
        <v>18</v>
      </c>
      <c r="G32" s="1"/>
      <c r="H32" s="1"/>
      <c r="I32" s="1"/>
      <c r="J32" s="1"/>
      <c r="K32" s="67">
        <f>+K31/K8</f>
        <v>111.33088020872981</v>
      </c>
      <c r="L32" s="67">
        <f>+L31/L8</f>
        <v>71.150443713293214</v>
      </c>
      <c r="M32" s="67">
        <f>+M31/M8</f>
        <v>59.235871205687538</v>
      </c>
      <c r="N32" s="67">
        <f>+N31/N8</f>
        <v>47.594209951884693</v>
      </c>
      <c r="O32" s="1"/>
      <c r="P32" s="91">
        <f>+P31/P8</f>
        <v>47.594209951884693</v>
      </c>
    </row>
    <row r="33" spans="1:16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67"/>
      <c r="L33" s="67"/>
      <c r="M33" s="67"/>
      <c r="N33" s="67"/>
      <c r="O33" s="1"/>
      <c r="P33" s="93"/>
    </row>
    <row r="34" spans="1:16" ht="13" x14ac:dyDescent="0.3">
      <c r="A34" s="14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67"/>
      <c r="L34" s="67"/>
      <c r="M34" s="67"/>
      <c r="N34" s="67"/>
      <c r="O34" s="1"/>
      <c r="P34" s="93"/>
    </row>
    <row r="35" spans="1:16" ht="15" x14ac:dyDescent="0.3">
      <c r="A35" s="1"/>
      <c r="B35" s="1" t="s">
        <v>70</v>
      </c>
      <c r="C35" s="1"/>
      <c r="D35" s="1"/>
      <c r="E35" s="1"/>
      <c r="F35" s="97">
        <v>4</v>
      </c>
      <c r="G35" s="1" t="s">
        <v>20</v>
      </c>
      <c r="H35" s="1"/>
      <c r="I35" s="129">
        <v>15</v>
      </c>
      <c r="J35" s="1" t="s">
        <v>21</v>
      </c>
      <c r="K35" s="67">
        <f>+$I$35*$F$35</f>
        <v>60</v>
      </c>
      <c r="L35" s="67">
        <f>+$I$35*$F$35</f>
        <v>60</v>
      </c>
      <c r="M35" s="67">
        <f>+$I$35*$F$35</f>
        <v>60</v>
      </c>
      <c r="N35" s="67">
        <f>+$I$35*$F$35</f>
        <v>60</v>
      </c>
      <c r="O35" s="1"/>
      <c r="P35" s="91">
        <f>+$I$35*$F$35</f>
        <v>60</v>
      </c>
    </row>
    <row r="36" spans="1:16" ht="13" x14ac:dyDescent="0.3">
      <c r="A36" s="1"/>
      <c r="B36" s="1" t="s">
        <v>22</v>
      </c>
      <c r="C36" s="1"/>
      <c r="D36" s="1"/>
      <c r="E36" s="1"/>
      <c r="F36" s="95">
        <v>0.05</v>
      </c>
      <c r="G36" s="1" t="s">
        <v>23</v>
      </c>
      <c r="H36" s="1"/>
      <c r="I36" s="1"/>
      <c r="J36" s="1"/>
      <c r="K36" s="67">
        <f>$F$36*K13</f>
        <v>28.75</v>
      </c>
      <c r="L36" s="67">
        <f>$F$36*L13</f>
        <v>46</v>
      </c>
      <c r="M36" s="67">
        <f>$F$36*M13</f>
        <v>69</v>
      </c>
      <c r="N36" s="67">
        <f>$F$36*N13</f>
        <v>92</v>
      </c>
      <c r="O36" s="1"/>
      <c r="P36" s="91">
        <f>$F$36*P13</f>
        <v>92</v>
      </c>
    </row>
    <row r="37" spans="1:16" ht="15" x14ac:dyDescent="0.3">
      <c r="A37" s="1"/>
      <c r="B37" s="1" t="s">
        <v>71</v>
      </c>
      <c r="C37" s="1"/>
      <c r="D37" s="1"/>
      <c r="E37" s="1"/>
      <c r="F37" s="1"/>
      <c r="G37" s="1"/>
      <c r="H37" s="1"/>
      <c r="I37" s="1"/>
      <c r="J37" s="1"/>
      <c r="K37" s="67">
        <f>0.5*(+$J$107)</f>
        <v>39.291640624999992</v>
      </c>
      <c r="L37" s="67">
        <f>+$J$107</f>
        <v>78.583281249999985</v>
      </c>
      <c r="M37" s="67">
        <f>+$J$107</f>
        <v>78.583281249999985</v>
      </c>
      <c r="N37" s="67">
        <f>+$J$107</f>
        <v>78.583281249999985</v>
      </c>
      <c r="O37" s="1"/>
      <c r="P37" s="91">
        <f>+$J$107</f>
        <v>78.583281249999985</v>
      </c>
    </row>
    <row r="38" spans="1:16" ht="14.5" x14ac:dyDescent="0.25">
      <c r="A38" s="1"/>
      <c r="B38" s="1" t="s">
        <v>72</v>
      </c>
      <c r="C38" s="1"/>
      <c r="D38" s="1"/>
      <c r="E38" s="1"/>
      <c r="F38" s="1"/>
      <c r="G38" s="1"/>
      <c r="H38" s="1"/>
      <c r="I38" s="1"/>
      <c r="J38" s="1"/>
      <c r="K38" s="67">
        <v>14</v>
      </c>
      <c r="L38" s="67">
        <v>14</v>
      </c>
      <c r="M38" s="67">
        <v>14</v>
      </c>
      <c r="N38" s="67">
        <v>14</v>
      </c>
      <c r="O38" s="67">
        <v>14</v>
      </c>
      <c r="P38" s="67">
        <v>14</v>
      </c>
    </row>
    <row r="39" spans="1:16" ht="15" x14ac:dyDescent="0.3">
      <c r="A39" s="1"/>
      <c r="B39" s="1" t="s">
        <v>73</v>
      </c>
      <c r="C39" s="1"/>
      <c r="D39" s="1"/>
      <c r="E39" s="1"/>
      <c r="F39" s="1"/>
      <c r="G39" s="1"/>
      <c r="H39" s="1"/>
      <c r="I39" s="1"/>
      <c r="J39" s="1"/>
      <c r="K39" s="67">
        <v>100</v>
      </c>
      <c r="L39" s="67">
        <v>100</v>
      </c>
      <c r="M39" s="67">
        <v>150</v>
      </c>
      <c r="N39" s="67">
        <v>200</v>
      </c>
      <c r="O39" s="102">
        <v>175</v>
      </c>
      <c r="P39" s="99">
        <v>200</v>
      </c>
    </row>
    <row r="40" spans="1:16" ht="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67"/>
      <c r="L40" s="69"/>
      <c r="M40" s="69"/>
      <c r="N40" s="69"/>
      <c r="O40" s="17"/>
      <c r="P40" s="94"/>
    </row>
    <row r="41" spans="1:16" ht="13" x14ac:dyDescent="0.3">
      <c r="A41" s="14" t="s">
        <v>24</v>
      </c>
      <c r="B41" s="1"/>
      <c r="C41" s="1"/>
      <c r="D41" s="1"/>
      <c r="E41" s="1"/>
      <c r="F41" s="1"/>
      <c r="G41" s="1"/>
      <c r="H41" s="1"/>
      <c r="I41" s="1"/>
      <c r="J41" s="1"/>
      <c r="K41" s="70">
        <f>SUM(K35:K40)</f>
        <v>242.04164062499999</v>
      </c>
      <c r="L41" s="67">
        <f>SUM(L35:L40)</f>
        <v>298.58328124999997</v>
      </c>
      <c r="M41" s="67">
        <f>SUM(M35:M40)</f>
        <v>371.58328124999997</v>
      </c>
      <c r="N41" s="67">
        <f>SUM(N35:N40)</f>
        <v>444.58328124999997</v>
      </c>
      <c r="O41" s="1"/>
      <c r="P41" s="91">
        <f>SUM(P35:P40)</f>
        <v>444.58328124999997</v>
      </c>
    </row>
    <row r="42" spans="1:16" ht="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67"/>
      <c r="L42" s="67"/>
      <c r="M42" s="67"/>
      <c r="N42" s="67"/>
      <c r="O42" s="1"/>
      <c r="P42" s="93"/>
    </row>
    <row r="43" spans="1:16" ht="13" x14ac:dyDescent="0.3">
      <c r="A43" s="14" t="s">
        <v>25</v>
      </c>
      <c r="B43" s="1"/>
      <c r="C43" s="1"/>
      <c r="D43" s="1"/>
      <c r="E43" s="1"/>
      <c r="F43" s="18" t="s">
        <v>17</v>
      </c>
      <c r="G43" s="1"/>
      <c r="H43" s="1"/>
      <c r="I43" s="1"/>
      <c r="J43" s="1"/>
      <c r="K43" s="67">
        <f>+K31+K41</f>
        <v>520.36884114682448</v>
      </c>
      <c r="L43" s="67">
        <f>+L31+L41</f>
        <v>583.18505610317288</v>
      </c>
      <c r="M43" s="67">
        <f>+M31+M41</f>
        <v>726.99850848412518</v>
      </c>
      <c r="N43" s="67">
        <f>+N31+N41</f>
        <v>825.33696086507757</v>
      </c>
      <c r="O43" s="1"/>
      <c r="P43" s="91">
        <f>+P31+P41</f>
        <v>825.33696086507757</v>
      </c>
    </row>
    <row r="44" spans="1:16" ht="13" x14ac:dyDescent="0.3">
      <c r="A44" s="14"/>
      <c r="B44" s="1"/>
      <c r="C44" s="1"/>
      <c r="D44" s="1"/>
      <c r="E44" s="1"/>
      <c r="F44" s="18" t="s">
        <v>18</v>
      </c>
      <c r="G44" s="1"/>
      <c r="H44" s="1"/>
      <c r="I44" s="1"/>
      <c r="J44" s="1"/>
      <c r="K44" s="67">
        <f>+K43/K8</f>
        <v>208.1475364587298</v>
      </c>
      <c r="L44" s="67">
        <f>+L43/L8</f>
        <v>145.79626402579322</v>
      </c>
      <c r="M44" s="67">
        <f>+M43/M8</f>
        <v>121.16641808068754</v>
      </c>
      <c r="N44" s="67">
        <f>+N43/N8</f>
        <v>103.1671201081347</v>
      </c>
      <c r="O44" s="1"/>
      <c r="P44" s="91">
        <f>+P43/P8</f>
        <v>103.1671201081347</v>
      </c>
    </row>
    <row r="45" spans="1:16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67"/>
      <c r="L45" s="67"/>
      <c r="M45" s="67"/>
      <c r="N45" s="67"/>
      <c r="O45" s="1"/>
      <c r="P45" s="93"/>
    </row>
    <row r="46" spans="1:16" ht="15" x14ac:dyDescent="0.3">
      <c r="A46" s="14" t="s">
        <v>102</v>
      </c>
      <c r="B46" s="1"/>
      <c r="C46" s="1"/>
      <c r="D46" s="1"/>
      <c r="E46" s="1"/>
      <c r="F46" s="1"/>
      <c r="G46" s="1"/>
      <c r="H46" s="1"/>
      <c r="I46" s="1"/>
      <c r="J46" s="1"/>
      <c r="K46" s="67">
        <f t="shared" ref="K46:P46" si="0">K49+K35+K36</f>
        <v>143.38115885317552</v>
      </c>
      <c r="L46" s="67">
        <f t="shared" si="0"/>
        <v>442.81494389682712</v>
      </c>
      <c r="M46" s="67">
        <f t="shared" si="0"/>
        <v>782.00149151587482</v>
      </c>
      <c r="N46" s="67">
        <f t="shared" si="0"/>
        <v>1166.6630391349224</v>
      </c>
      <c r="O46" s="67">
        <f t="shared" si="0"/>
        <v>0</v>
      </c>
      <c r="P46" s="67">
        <f t="shared" si="0"/>
        <v>1166.6630391349224</v>
      </c>
    </row>
    <row r="47" spans="1:16" ht="13" x14ac:dyDescent="0.3">
      <c r="A47" s="8" t="s">
        <v>92</v>
      </c>
      <c r="B47" s="10"/>
      <c r="C47" s="10"/>
      <c r="D47" s="1"/>
      <c r="E47" s="1"/>
      <c r="F47" s="1"/>
      <c r="G47" s="1"/>
      <c r="H47" s="1"/>
      <c r="I47" s="1"/>
      <c r="J47" s="1"/>
      <c r="K47" s="67">
        <f t="shared" ref="K47:P47" si="1">+K49+K39</f>
        <v>154.63115885317552</v>
      </c>
      <c r="L47" s="67">
        <f t="shared" si="1"/>
        <v>436.81494389682712</v>
      </c>
      <c r="M47" s="67">
        <f t="shared" si="1"/>
        <v>803.00149151587482</v>
      </c>
      <c r="N47" s="67">
        <f t="shared" si="1"/>
        <v>1214.6630391349224</v>
      </c>
      <c r="O47" s="67">
        <f t="shared" si="1"/>
        <v>175</v>
      </c>
      <c r="P47" s="67">
        <f t="shared" si="1"/>
        <v>1214.6630391349224</v>
      </c>
    </row>
    <row r="48" spans="1:16" ht="13" x14ac:dyDescent="0.3">
      <c r="A48" s="14" t="s">
        <v>26</v>
      </c>
      <c r="B48" s="1"/>
      <c r="C48" s="1"/>
      <c r="D48" s="1"/>
      <c r="E48" s="1"/>
      <c r="F48" s="1"/>
      <c r="G48" s="1"/>
      <c r="H48" s="1"/>
      <c r="I48" s="1"/>
      <c r="J48" s="1"/>
      <c r="K48" s="67">
        <f t="shared" ref="K48:P48" si="2">+K13-K31</f>
        <v>296.67279947817548</v>
      </c>
      <c r="L48" s="67">
        <f t="shared" si="2"/>
        <v>635.39822514682714</v>
      </c>
      <c r="M48" s="67">
        <f t="shared" si="2"/>
        <v>1024.5847727658747</v>
      </c>
      <c r="N48" s="67">
        <f t="shared" si="2"/>
        <v>1459.2463203849225</v>
      </c>
      <c r="O48" s="67">
        <f t="shared" si="2"/>
        <v>0</v>
      </c>
      <c r="P48" s="67">
        <f t="shared" si="2"/>
        <v>1459.2463203849225</v>
      </c>
    </row>
    <row r="49" spans="1:16" ht="13" x14ac:dyDescent="0.3">
      <c r="A49" s="8" t="s">
        <v>27</v>
      </c>
      <c r="B49" s="10"/>
      <c r="C49" s="10"/>
      <c r="D49" s="1"/>
      <c r="E49" s="1"/>
      <c r="F49" s="1"/>
      <c r="G49" s="1"/>
      <c r="H49" s="1"/>
      <c r="I49" s="1"/>
      <c r="J49" s="1"/>
      <c r="K49" s="3">
        <f t="shared" ref="K49:P49" si="3">K13-K43</f>
        <v>54.631158853175521</v>
      </c>
      <c r="L49" s="3">
        <f t="shared" si="3"/>
        <v>336.81494389682712</v>
      </c>
      <c r="M49" s="3">
        <f t="shared" si="3"/>
        <v>653.00149151587482</v>
      </c>
      <c r="N49" s="3">
        <f t="shared" si="3"/>
        <v>1014.6630391349224</v>
      </c>
      <c r="O49" s="3">
        <f t="shared" si="3"/>
        <v>0</v>
      </c>
      <c r="P49" s="3">
        <f t="shared" si="3"/>
        <v>1014.6630391349224</v>
      </c>
    </row>
    <row r="50" spans="1:16" ht="13" x14ac:dyDescent="0.3">
      <c r="A50" s="1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0"/>
      <c r="N50" s="20"/>
      <c r="O50" s="11"/>
      <c r="P50" s="11"/>
    </row>
    <row r="51" spans="1:16" ht="14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1"/>
      <c r="M51" s="21"/>
      <c r="N51" s="21"/>
      <c r="O51" s="10"/>
      <c r="P51" s="10"/>
    </row>
    <row r="52" spans="1:16" ht="14.25" customHeight="1" x14ac:dyDescent="0.25">
      <c r="A52" s="29" t="s">
        <v>87</v>
      </c>
      <c r="B52" s="29"/>
      <c r="C52" s="10"/>
      <c r="D52" s="10"/>
      <c r="E52" s="10"/>
      <c r="F52" s="10"/>
      <c r="G52" s="10"/>
      <c r="H52" s="10"/>
      <c r="I52" s="10"/>
      <c r="J52" s="10"/>
      <c r="K52" s="10"/>
      <c r="L52" s="21"/>
      <c r="M52" s="21"/>
      <c r="N52" s="21"/>
      <c r="O52" s="10"/>
      <c r="P52" s="10"/>
    </row>
    <row r="53" spans="1:16" ht="14.25" customHeight="1" x14ac:dyDescent="0.25">
      <c r="B53" s="29" t="s">
        <v>88</v>
      </c>
      <c r="C53" s="10"/>
      <c r="D53" s="10"/>
      <c r="E53" s="10"/>
      <c r="F53" s="10"/>
      <c r="G53" s="10"/>
      <c r="H53" s="10"/>
      <c r="I53" s="10"/>
      <c r="J53" s="10"/>
      <c r="K53" s="10"/>
      <c r="L53" s="21"/>
      <c r="M53" s="21"/>
      <c r="N53" s="21"/>
      <c r="O53" s="10"/>
      <c r="P53" s="10"/>
    </row>
    <row r="54" spans="1:16" ht="14.25" customHeight="1" x14ac:dyDescent="0.25">
      <c r="A54" s="29" t="s">
        <v>89</v>
      </c>
      <c r="B54" s="29"/>
      <c r="C54" s="10"/>
      <c r="D54" s="10"/>
      <c r="E54" s="10"/>
      <c r="F54" s="10"/>
      <c r="G54" s="10"/>
      <c r="H54" s="10"/>
      <c r="I54" s="10"/>
      <c r="J54" s="10"/>
      <c r="K54" s="10"/>
      <c r="L54" s="21"/>
      <c r="M54" s="21"/>
      <c r="N54" s="21"/>
      <c r="O54" s="10"/>
      <c r="P54" s="10"/>
    </row>
    <row r="55" spans="1:16" ht="14.25" customHeight="1" x14ac:dyDescent="0.25">
      <c r="A55" s="29"/>
      <c r="B55" s="29" t="s">
        <v>90</v>
      </c>
      <c r="C55" s="10"/>
      <c r="D55" s="10"/>
      <c r="E55" s="10"/>
      <c r="F55" s="10"/>
      <c r="G55" s="10"/>
      <c r="H55" s="10"/>
      <c r="I55" s="10"/>
      <c r="J55" s="10"/>
      <c r="K55" s="10"/>
      <c r="L55" s="21"/>
      <c r="M55" s="21"/>
      <c r="N55" s="21"/>
      <c r="O55" s="10"/>
      <c r="P55" s="10"/>
    </row>
    <row r="56" spans="1:16" ht="14.25" customHeight="1" x14ac:dyDescent="0.25">
      <c r="A56" s="29" t="s">
        <v>91</v>
      </c>
      <c r="B56" s="29"/>
      <c r="C56" s="10"/>
      <c r="D56" s="10"/>
      <c r="E56" s="10"/>
      <c r="F56" s="10"/>
      <c r="G56" s="10"/>
      <c r="H56" s="10"/>
      <c r="I56" s="10"/>
      <c r="J56" s="10"/>
      <c r="K56" s="10"/>
      <c r="L56" s="21"/>
      <c r="M56" s="21"/>
      <c r="N56" s="21"/>
      <c r="O56" s="10"/>
      <c r="P56" s="10"/>
    </row>
    <row r="57" spans="1:16" ht="14.5" x14ac:dyDescent="0.25">
      <c r="A57" s="22">
        <v>1</v>
      </c>
      <c r="B57" s="1" t="s">
        <v>148</v>
      </c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1"/>
      <c r="P57" s="1"/>
    </row>
    <row r="58" spans="1:16" ht="14.5" x14ac:dyDescent="0.25">
      <c r="A58" s="22"/>
      <c r="B58" s="1"/>
      <c r="C58" s="1" t="s">
        <v>142</v>
      </c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1"/>
      <c r="P58" s="1"/>
    </row>
    <row r="59" spans="1:16" ht="14.5" x14ac:dyDescent="0.25">
      <c r="A59" s="22">
        <v>2</v>
      </c>
      <c r="B59" s="1" t="s">
        <v>66</v>
      </c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1"/>
      <c r="P59" s="1"/>
    </row>
    <row r="60" spans="1:16" x14ac:dyDescent="0.25">
      <c r="A60" s="1"/>
      <c r="C60" s="1" t="s">
        <v>132</v>
      </c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1"/>
      <c r="P60" s="1"/>
    </row>
    <row r="61" spans="1:16" ht="14.5" x14ac:dyDescent="0.25">
      <c r="A61" s="22">
        <v>3</v>
      </c>
      <c r="B61" s="1" t="s">
        <v>110</v>
      </c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1"/>
      <c r="P61" s="1"/>
    </row>
    <row r="62" spans="1:16" ht="14.5" x14ac:dyDescent="0.25">
      <c r="A62" s="22"/>
      <c r="B62" s="1"/>
      <c r="C62" s="1" t="s">
        <v>28</v>
      </c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1"/>
      <c r="P62" s="1"/>
    </row>
    <row r="63" spans="1:16" ht="14.5" x14ac:dyDescent="0.25">
      <c r="A63" s="22"/>
      <c r="B63" s="1"/>
      <c r="C63" s="1" t="s">
        <v>29</v>
      </c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1"/>
      <c r="P63" s="1"/>
    </row>
    <row r="64" spans="1:16" ht="14.5" x14ac:dyDescent="0.25">
      <c r="A64" s="22">
        <v>4</v>
      </c>
      <c r="B64" s="1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1"/>
      <c r="P64" s="1"/>
    </row>
    <row r="65" spans="1:16" ht="14.5" x14ac:dyDescent="0.25">
      <c r="A65" s="22">
        <v>5</v>
      </c>
      <c r="B65" s="1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1"/>
      <c r="P65" s="1"/>
    </row>
    <row r="66" spans="1:16" x14ac:dyDescent="0.25">
      <c r="A66" s="1"/>
      <c r="C66" s="1" t="s">
        <v>77</v>
      </c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  <c r="O66" s="1"/>
      <c r="P66" s="1"/>
    </row>
    <row r="67" spans="1:16" x14ac:dyDescent="0.25">
      <c r="A67" s="1"/>
      <c r="C67" s="1" t="s">
        <v>32</v>
      </c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1"/>
      <c r="P67" s="1"/>
    </row>
    <row r="68" spans="1:16" x14ac:dyDescent="0.25">
      <c r="A68" s="1"/>
      <c r="C68" s="29" t="s">
        <v>81</v>
      </c>
      <c r="D68" s="29"/>
      <c r="E68" s="29"/>
      <c r="F68" s="130">
        <v>650</v>
      </c>
      <c r="G68" s="104" t="s">
        <v>8</v>
      </c>
      <c r="H68" s="29" t="s">
        <v>82</v>
      </c>
      <c r="I68" s="87"/>
      <c r="J68" s="131">
        <v>575</v>
      </c>
      <c r="K68" s="104" t="s">
        <v>8</v>
      </c>
      <c r="L68" s="3"/>
      <c r="M68" s="3"/>
      <c r="N68" s="3"/>
      <c r="O68" s="1"/>
      <c r="P68" s="1"/>
    </row>
    <row r="69" spans="1:16" x14ac:dyDescent="0.25">
      <c r="A69" s="1"/>
      <c r="C69" s="1" t="s">
        <v>111</v>
      </c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1"/>
      <c r="P69" s="1"/>
    </row>
    <row r="70" spans="1:16" x14ac:dyDescent="0.25">
      <c r="A70" s="1"/>
      <c r="C70" s="1" t="s">
        <v>78</v>
      </c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1"/>
      <c r="P70" s="1"/>
    </row>
    <row r="71" spans="1:16" ht="14.5" x14ac:dyDescent="0.25">
      <c r="A71" s="22">
        <v>6</v>
      </c>
      <c r="B71" s="1" t="s">
        <v>117</v>
      </c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1"/>
      <c r="P71" s="1"/>
    </row>
    <row r="72" spans="1:16" ht="14.5" x14ac:dyDescent="0.25">
      <c r="A72" s="22"/>
      <c r="B72" s="1" t="s">
        <v>118</v>
      </c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1"/>
      <c r="P72" s="1"/>
    </row>
    <row r="73" spans="1:16" ht="14.5" x14ac:dyDescent="0.25">
      <c r="A73" s="22"/>
      <c r="B73" s="1" t="s">
        <v>119</v>
      </c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1"/>
      <c r="P73" s="1"/>
    </row>
    <row r="74" spans="1:16" x14ac:dyDescent="0.25">
      <c r="A74" s="1"/>
      <c r="B74" s="1" t="s">
        <v>120</v>
      </c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  <c r="O74" s="1"/>
      <c r="P74" s="1"/>
    </row>
    <row r="75" spans="1:16" x14ac:dyDescent="0.25">
      <c r="A75" s="1"/>
      <c r="B75" s="1" t="s">
        <v>121</v>
      </c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  <c r="O75" s="1"/>
      <c r="P75" s="1"/>
    </row>
    <row r="76" spans="1:16" ht="14.5" x14ac:dyDescent="0.25">
      <c r="A76" s="22">
        <v>7</v>
      </c>
      <c r="B76" s="1" t="s">
        <v>67</v>
      </c>
      <c r="L76" s="23"/>
      <c r="M76" s="23"/>
      <c r="N76" s="23"/>
    </row>
    <row r="77" spans="1:16" ht="14.5" x14ac:dyDescent="0.25">
      <c r="A77" s="22">
        <v>8</v>
      </c>
      <c r="B77" s="1" t="s">
        <v>33</v>
      </c>
      <c r="L77" s="23"/>
      <c r="M77" s="23"/>
      <c r="N77" s="23"/>
    </row>
    <row r="78" spans="1:16" ht="14.5" x14ac:dyDescent="0.25">
      <c r="A78" s="22">
        <v>9</v>
      </c>
      <c r="B78" s="1" t="s">
        <v>34</v>
      </c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  <c r="O78" s="1"/>
      <c r="P78" s="1"/>
    </row>
    <row r="79" spans="1:16" ht="14.5" x14ac:dyDescent="0.25">
      <c r="A79" s="22">
        <v>10</v>
      </c>
      <c r="B79" s="1" t="s">
        <v>112</v>
      </c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  <c r="O79" s="1"/>
      <c r="P79" s="1"/>
    </row>
    <row r="80" spans="1:16" ht="14.5" x14ac:dyDescent="0.25">
      <c r="A80" s="22">
        <v>11</v>
      </c>
      <c r="B80" s="1" t="s">
        <v>113</v>
      </c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1"/>
      <c r="P80" s="1"/>
    </row>
    <row r="81" spans="1:16" ht="14.5" x14ac:dyDescent="0.25">
      <c r="A81" s="22" t="s">
        <v>126</v>
      </c>
      <c r="B81" s="1" t="s">
        <v>129</v>
      </c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1"/>
      <c r="P81" s="1"/>
    </row>
    <row r="82" spans="1:16" ht="14.5" x14ac:dyDescent="0.25">
      <c r="A82" s="22">
        <v>12</v>
      </c>
      <c r="B82" s="1" t="s">
        <v>35</v>
      </c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1"/>
      <c r="P82" s="1"/>
    </row>
    <row r="83" spans="1:16" x14ac:dyDescent="0.25">
      <c r="A83" s="1"/>
      <c r="B83" s="1" t="s">
        <v>85</v>
      </c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1"/>
      <c r="P83" s="1"/>
    </row>
    <row r="84" spans="1:16" ht="14.5" x14ac:dyDescent="0.25">
      <c r="A84" s="22">
        <v>13</v>
      </c>
      <c r="B84" s="1" t="s">
        <v>131</v>
      </c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1"/>
      <c r="P84" s="1"/>
    </row>
    <row r="85" spans="1:16" ht="14.5" x14ac:dyDescent="0.25">
      <c r="A85" s="22"/>
      <c r="B85" s="1" t="s">
        <v>136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1"/>
      <c r="P85" s="1"/>
    </row>
    <row r="86" spans="1:16" ht="14.5" x14ac:dyDescent="0.25">
      <c r="A86" s="22"/>
      <c r="B86" s="1" t="s">
        <v>135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1"/>
      <c r="P86" s="1"/>
    </row>
    <row r="87" spans="1:16" ht="14.5" x14ac:dyDescent="0.25">
      <c r="A87" s="22">
        <v>14</v>
      </c>
      <c r="B87" s="1" t="s">
        <v>36</v>
      </c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1"/>
      <c r="P87" s="1"/>
    </row>
    <row r="88" spans="1:16" ht="14.5" x14ac:dyDescent="0.25">
      <c r="A88" s="22"/>
      <c r="B88" s="1"/>
      <c r="C88" s="1" t="s">
        <v>138</v>
      </c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  <c r="O88" s="1"/>
      <c r="P88" s="1"/>
    </row>
    <row r="89" spans="1:16" ht="14.5" x14ac:dyDescent="0.25">
      <c r="A89" s="22"/>
      <c r="B89" s="1"/>
      <c r="C89" s="1" t="s">
        <v>139</v>
      </c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  <c r="O89" s="1"/>
      <c r="P89" s="1"/>
    </row>
    <row r="90" spans="1:16" ht="14.5" x14ac:dyDescent="0.25">
      <c r="A90" s="22">
        <v>15</v>
      </c>
      <c r="B90" s="1" t="s">
        <v>114</v>
      </c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  <c r="O90" s="1"/>
      <c r="P90" s="1"/>
    </row>
    <row r="91" spans="1:16" ht="14.5" x14ac:dyDescent="0.25">
      <c r="A91" s="22"/>
      <c r="B91" s="1" t="s">
        <v>103</v>
      </c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1"/>
      <c r="P91" s="1"/>
    </row>
    <row r="92" spans="1:16" ht="14.5" x14ac:dyDescent="0.25">
      <c r="A92" s="22"/>
      <c r="B92" s="1"/>
      <c r="C92" s="1" t="s">
        <v>115</v>
      </c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1"/>
      <c r="P92" s="1"/>
    </row>
    <row r="93" spans="1:16" ht="14.5" x14ac:dyDescent="0.25">
      <c r="A93" s="22">
        <v>16</v>
      </c>
      <c r="B93" s="1" t="s">
        <v>37</v>
      </c>
      <c r="C93" s="1"/>
      <c r="L93" s="23"/>
      <c r="M93" s="23"/>
      <c r="N93" s="23"/>
    </row>
    <row r="94" spans="1:16" x14ac:dyDescent="0.25">
      <c r="B94" s="1"/>
      <c r="C94" s="1" t="s">
        <v>38</v>
      </c>
      <c r="L94" s="23"/>
      <c r="M94" s="23"/>
      <c r="N94" s="23"/>
    </row>
    <row r="95" spans="1:16" x14ac:dyDescent="0.25">
      <c r="B95" s="1"/>
      <c r="C95" s="1"/>
      <c r="L95" s="23"/>
      <c r="M95" s="23"/>
      <c r="N95" s="23"/>
    </row>
    <row r="96" spans="1:16" x14ac:dyDescent="0.25">
      <c r="A96" s="148" t="s">
        <v>74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</row>
    <row r="97" spans="1:16" ht="30.5" x14ac:dyDescent="0.25">
      <c r="A97" s="29"/>
      <c r="B97" s="29"/>
      <c r="C97" s="29"/>
      <c r="D97" s="29"/>
      <c r="E97" s="30" t="s">
        <v>39</v>
      </c>
      <c r="F97" s="31" t="s">
        <v>52</v>
      </c>
      <c r="G97" s="30" t="s">
        <v>53</v>
      </c>
      <c r="H97" s="30"/>
      <c r="I97" s="30"/>
      <c r="J97" s="32" t="s">
        <v>54</v>
      </c>
      <c r="K97" s="31" t="s">
        <v>55</v>
      </c>
      <c r="L97" s="31" t="s">
        <v>56</v>
      </c>
      <c r="M97" s="125" t="s">
        <v>101</v>
      </c>
      <c r="N97" s="31" t="s">
        <v>40</v>
      </c>
    </row>
    <row r="98" spans="1:16" x14ac:dyDescent="0.25">
      <c r="A98" s="29"/>
      <c r="B98" s="33" t="s">
        <v>105</v>
      </c>
      <c r="C98" s="33"/>
      <c r="D98" s="33"/>
      <c r="E98" s="34">
        <v>4</v>
      </c>
      <c r="F98" s="35">
        <v>31000</v>
      </c>
      <c r="G98" s="36">
        <v>400</v>
      </c>
      <c r="H98" s="37"/>
      <c r="I98" s="37"/>
      <c r="J98" s="38">
        <f>'Machinery Costs'!J2</f>
        <v>10.813671875000001</v>
      </c>
      <c r="K98" s="39">
        <v>8.73</v>
      </c>
      <c r="L98" s="117">
        <f>0.38*E98</f>
        <v>1.52</v>
      </c>
      <c r="M98" s="122">
        <f>(G98*E98)/K98</f>
        <v>183.27605956471936</v>
      </c>
      <c r="N98" s="117">
        <f>0.61*E98</f>
        <v>2.44</v>
      </c>
    </row>
    <row r="99" spans="1:16" x14ac:dyDescent="0.25">
      <c r="A99" s="29"/>
      <c r="B99" s="40" t="s">
        <v>86</v>
      </c>
      <c r="C99" s="40"/>
      <c r="D99" s="40"/>
      <c r="E99" s="28">
        <v>4</v>
      </c>
      <c r="F99" s="24">
        <v>26000</v>
      </c>
      <c r="G99" s="41">
        <v>400</v>
      </c>
      <c r="H99" s="42"/>
      <c r="I99" s="42"/>
      <c r="J99" s="38">
        <f>'Machinery Costs'!J3</f>
        <v>9.0695312500000007</v>
      </c>
      <c r="K99" s="43">
        <v>4.3600000000000003</v>
      </c>
      <c r="L99" s="118">
        <f>0.4*E99</f>
        <v>1.6</v>
      </c>
      <c r="M99" s="123">
        <f>(G99*E99)/K99</f>
        <v>366.97247706422013</v>
      </c>
      <c r="N99" s="118">
        <f>3*E99</f>
        <v>12</v>
      </c>
    </row>
    <row r="100" spans="1:16" x14ac:dyDescent="0.25">
      <c r="A100" s="29"/>
      <c r="B100" s="40" t="s">
        <v>137</v>
      </c>
      <c r="C100" s="40"/>
      <c r="D100" s="40"/>
      <c r="E100" s="28">
        <v>4</v>
      </c>
      <c r="F100" s="24">
        <v>45000</v>
      </c>
      <c r="G100" s="41">
        <v>400</v>
      </c>
      <c r="H100" s="42"/>
      <c r="I100" s="42"/>
      <c r="J100" s="38">
        <f>'Machinery Costs'!J4</f>
        <v>15.697265625</v>
      </c>
      <c r="K100" s="43">
        <v>26.2</v>
      </c>
      <c r="L100" s="118">
        <f>0.07*E100</f>
        <v>0.28000000000000003</v>
      </c>
      <c r="M100" s="123">
        <f>(G100*E100)/K100</f>
        <v>61.068702290076338</v>
      </c>
      <c r="N100" s="118">
        <f>0.32*E100</f>
        <v>1.28</v>
      </c>
    </row>
    <row r="101" spans="1:16" x14ac:dyDescent="0.25">
      <c r="A101" s="29"/>
      <c r="B101" s="40" t="s">
        <v>124</v>
      </c>
      <c r="C101" s="40"/>
      <c r="D101" s="40"/>
      <c r="E101" s="28">
        <v>4</v>
      </c>
      <c r="F101" s="24">
        <v>16000</v>
      </c>
      <c r="G101" s="41">
        <v>400</v>
      </c>
      <c r="H101" s="42"/>
      <c r="I101" s="42"/>
      <c r="J101" s="38">
        <f>'Machinery Costs'!J5</f>
        <v>5.5812499999999998</v>
      </c>
      <c r="K101" s="66"/>
      <c r="L101" s="118">
        <f>0.1*E101</f>
        <v>0.4</v>
      </c>
      <c r="M101" s="123">
        <f>M99/4</f>
        <v>91.743119266055032</v>
      </c>
      <c r="N101" s="118">
        <f>0.2*E101</f>
        <v>0.8</v>
      </c>
    </row>
    <row r="102" spans="1:16" x14ac:dyDescent="0.25">
      <c r="A102" s="29"/>
      <c r="B102" s="40" t="s">
        <v>83</v>
      </c>
      <c r="C102" s="40"/>
      <c r="D102" s="40"/>
      <c r="E102" s="28">
        <v>1</v>
      </c>
      <c r="F102" s="24">
        <v>12000</v>
      </c>
      <c r="G102" s="41">
        <v>2000</v>
      </c>
      <c r="H102" s="42"/>
      <c r="I102" s="107"/>
      <c r="J102" s="38">
        <f>'Machinery Costs'!J6</f>
        <v>0.81506249999999991</v>
      </c>
      <c r="K102" s="106">
        <v>34</v>
      </c>
      <c r="L102" s="118">
        <f>0.12*E102</f>
        <v>0.12</v>
      </c>
      <c r="M102" s="123">
        <f>(G102*E102)/K102</f>
        <v>58.823529411764703</v>
      </c>
      <c r="N102" s="120">
        <f>0.15*E102</f>
        <v>0.15</v>
      </c>
    </row>
    <row r="103" spans="1:16" x14ac:dyDescent="0.25">
      <c r="A103" s="29"/>
      <c r="B103" s="40" t="s">
        <v>147</v>
      </c>
      <c r="C103" s="40"/>
      <c r="D103" s="40"/>
      <c r="E103" s="28">
        <v>3</v>
      </c>
      <c r="F103" s="24">
        <v>259000</v>
      </c>
      <c r="G103" s="41">
        <v>2000</v>
      </c>
      <c r="H103" s="42"/>
      <c r="I103" s="107"/>
      <c r="J103" s="38">
        <f>'Machinery Costs'!J7</f>
        <v>17.591765624999997</v>
      </c>
      <c r="K103" s="44" t="s">
        <v>57</v>
      </c>
      <c r="L103" s="44" t="s">
        <v>57</v>
      </c>
      <c r="M103" s="123">
        <f>M98+M100</f>
        <v>244.34476185479571</v>
      </c>
      <c r="N103" s="120">
        <f>(M103*4.14)/400</f>
        <v>2.5289682851971351</v>
      </c>
    </row>
    <row r="104" spans="1:16" x14ac:dyDescent="0.25">
      <c r="A104" s="29"/>
      <c r="B104" s="40" t="s">
        <v>146</v>
      </c>
      <c r="C104" s="40"/>
      <c r="D104" s="40"/>
      <c r="E104" s="28">
        <v>3</v>
      </c>
      <c r="F104" s="24">
        <v>244000</v>
      </c>
      <c r="G104" s="41">
        <v>2000</v>
      </c>
      <c r="H104" s="42"/>
      <c r="I104" s="107"/>
      <c r="J104" s="38">
        <f>'Machinery Costs'!J8</f>
        <v>16.572937499999995</v>
      </c>
      <c r="K104" s="44" t="s">
        <v>57</v>
      </c>
      <c r="L104" s="44" t="s">
        <v>57</v>
      </c>
      <c r="M104" s="123">
        <f>M99+M102</f>
        <v>425.79600647598483</v>
      </c>
      <c r="N104" s="120">
        <f>(M104*4.14)/400</f>
        <v>4.4069886670264422</v>
      </c>
    </row>
    <row r="105" spans="1:16" x14ac:dyDescent="0.25">
      <c r="A105" s="29"/>
      <c r="B105" s="45" t="s">
        <v>58</v>
      </c>
      <c r="C105" s="45"/>
      <c r="D105" s="45"/>
      <c r="E105" s="46">
        <v>4</v>
      </c>
      <c r="F105" s="47">
        <v>35000</v>
      </c>
      <c r="G105" s="48">
        <v>2000</v>
      </c>
      <c r="H105" s="49"/>
      <c r="I105" s="49"/>
      <c r="J105" s="126">
        <f>'Machinery Costs'!J9</f>
        <v>2.4417968750000001</v>
      </c>
      <c r="K105" s="50" t="s">
        <v>57</v>
      </c>
      <c r="L105" s="119">
        <v>0.21</v>
      </c>
      <c r="M105" s="140">
        <f>M101</f>
        <v>91.743119266055032</v>
      </c>
      <c r="N105" s="121">
        <v>0.15</v>
      </c>
    </row>
    <row r="106" spans="1:16" x14ac:dyDescent="0.25">
      <c r="A106" s="29"/>
      <c r="C106" s="29"/>
      <c r="D106" s="29"/>
      <c r="E106" s="51"/>
      <c r="F106" s="52"/>
      <c r="G106" s="52"/>
      <c r="H106" s="52"/>
      <c r="I106" s="52"/>
      <c r="J106" s="53"/>
      <c r="K106" s="54" t="s">
        <v>59</v>
      </c>
      <c r="L106" s="55">
        <f>SUM(L98:L104)*N109+(L105*N109*1.2)</f>
        <v>14.602</v>
      </c>
      <c r="N106" s="56"/>
    </row>
    <row r="107" spans="1:16" ht="13" x14ac:dyDescent="0.3">
      <c r="A107" s="29"/>
      <c r="B107" s="57" t="s">
        <v>60</v>
      </c>
      <c r="C107" s="57"/>
      <c r="D107" s="57"/>
      <c r="E107" s="57"/>
      <c r="F107" s="58"/>
      <c r="G107" s="58"/>
      <c r="H107" s="58"/>
      <c r="I107" s="58"/>
      <c r="J107" s="59">
        <f>SUM(J98:J105)</f>
        <v>78.583281249999985</v>
      </c>
      <c r="K107" s="54" t="s">
        <v>61</v>
      </c>
      <c r="L107" s="55">
        <f>(L106*0.1)+L106</f>
        <v>16.062200000000001</v>
      </c>
      <c r="M107" s="27" t="s">
        <v>62</v>
      </c>
      <c r="N107" s="55">
        <f>SUM(N98:N105)</f>
        <v>23.755956952223574</v>
      </c>
    </row>
    <row r="108" spans="1:16" x14ac:dyDescent="0.25">
      <c r="A108" s="29"/>
      <c r="B108" s="57"/>
      <c r="C108" s="29"/>
      <c r="D108" s="29"/>
      <c r="E108" s="29"/>
      <c r="F108" s="60"/>
      <c r="G108" s="61"/>
      <c r="H108" s="61"/>
      <c r="I108" s="61"/>
      <c r="J108" s="62"/>
      <c r="K108" s="57"/>
      <c r="L108" s="63"/>
      <c r="M108" s="63"/>
      <c r="N108" s="63"/>
    </row>
    <row r="109" spans="1:16" x14ac:dyDescent="0.25">
      <c r="A109" s="29"/>
      <c r="B109" s="29"/>
      <c r="C109" s="57"/>
      <c r="D109" s="57"/>
      <c r="E109" s="57"/>
      <c r="F109" s="64"/>
      <c r="G109" s="64"/>
      <c r="H109" s="64"/>
      <c r="I109" s="64"/>
      <c r="J109" s="64"/>
      <c r="K109" s="143" t="s">
        <v>63</v>
      </c>
      <c r="L109" s="143"/>
      <c r="M109" s="143"/>
      <c r="N109" s="65">
        <v>3.5</v>
      </c>
    </row>
    <row r="110" spans="1:16" x14ac:dyDescent="0.25">
      <c r="B110" s="1"/>
      <c r="C110" s="1"/>
      <c r="L110" s="23"/>
      <c r="M110" s="23"/>
      <c r="N110" s="23"/>
    </row>
    <row r="111" spans="1:16" x14ac:dyDescent="0.25">
      <c r="A111" s="71"/>
      <c r="B111" s="10"/>
      <c r="C111" s="10"/>
      <c r="D111" s="71"/>
      <c r="E111" s="71"/>
      <c r="F111" s="71"/>
      <c r="G111" s="71"/>
      <c r="H111" s="71"/>
      <c r="I111" s="71"/>
      <c r="J111" s="71"/>
      <c r="K111" s="71"/>
      <c r="L111" s="72"/>
      <c r="M111" s="72"/>
      <c r="N111" s="72"/>
    </row>
    <row r="112" spans="1:16" x14ac:dyDescent="0.25">
      <c r="A112" s="29" t="s">
        <v>107</v>
      </c>
      <c r="B112" s="57"/>
      <c r="C112" s="57"/>
      <c r="D112" s="57"/>
      <c r="E112" s="57"/>
      <c r="F112" s="64"/>
      <c r="G112" s="64"/>
      <c r="H112" s="64"/>
      <c r="I112" s="64"/>
      <c r="J112" s="62"/>
      <c r="K112" s="57"/>
      <c r="L112" s="63"/>
      <c r="M112" s="63"/>
      <c r="N112" s="21"/>
      <c r="O112" s="1"/>
      <c r="P112" s="1"/>
    </row>
    <row r="113" spans="1:18" x14ac:dyDescent="0.25">
      <c r="A113" s="29" t="s">
        <v>104</v>
      </c>
      <c r="B113" s="57"/>
      <c r="C113" s="57"/>
      <c r="D113" s="57"/>
      <c r="E113" s="57"/>
      <c r="F113" s="64"/>
      <c r="G113" s="64"/>
      <c r="H113" s="64"/>
      <c r="I113" s="64"/>
      <c r="J113" s="62"/>
      <c r="K113" s="57"/>
      <c r="L113" s="63"/>
      <c r="M113" s="63"/>
      <c r="N113" s="21"/>
      <c r="O113" s="3"/>
      <c r="P113" s="1"/>
    </row>
    <row r="114" spans="1:18" x14ac:dyDescent="0.25">
      <c r="A114" s="128" t="s">
        <v>106</v>
      </c>
      <c r="B114" s="57"/>
      <c r="C114" s="57"/>
      <c r="D114" s="57"/>
      <c r="E114" s="57"/>
      <c r="F114" s="64"/>
      <c r="G114" s="64"/>
      <c r="H114" s="64"/>
      <c r="I114" s="64"/>
      <c r="J114" s="62"/>
      <c r="K114" s="57"/>
      <c r="L114" s="63"/>
      <c r="M114" s="63"/>
      <c r="N114" s="21"/>
      <c r="O114" s="3"/>
      <c r="P114" s="1"/>
    </row>
    <row r="115" spans="1:18" x14ac:dyDescent="0.25">
      <c r="A115" s="29" t="s">
        <v>75</v>
      </c>
      <c r="B115" s="29"/>
      <c r="C115" s="29"/>
      <c r="D115" s="29"/>
      <c r="E115" s="29"/>
      <c r="F115" s="84"/>
      <c r="G115" s="84"/>
      <c r="H115" s="84"/>
      <c r="I115" s="84"/>
      <c r="J115" s="62"/>
      <c r="K115" s="29"/>
      <c r="L115" s="85"/>
      <c r="M115" s="85"/>
      <c r="N115" s="21"/>
      <c r="O115" s="3"/>
    </row>
    <row r="116" spans="1:18" x14ac:dyDescent="0.25">
      <c r="A116" s="29" t="s">
        <v>130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86"/>
      <c r="N116" s="21"/>
      <c r="O116" s="3"/>
    </row>
    <row r="117" spans="1:18" ht="13.5" customHeight="1" x14ac:dyDescent="0.25">
      <c r="A117" s="29" t="s">
        <v>141</v>
      </c>
      <c r="B117" s="29"/>
      <c r="C117" s="29"/>
      <c r="D117" s="29"/>
      <c r="E117" s="87"/>
      <c r="F117" s="87"/>
      <c r="G117" s="87"/>
      <c r="H117" s="87"/>
      <c r="I117" s="87"/>
      <c r="J117" s="87"/>
      <c r="K117" s="29"/>
      <c r="L117" s="29"/>
      <c r="M117" s="85"/>
      <c r="N117" s="21"/>
      <c r="O117" s="3"/>
    </row>
    <row r="118" spans="1:18" x14ac:dyDescent="0.25">
      <c r="A118" s="88" t="s">
        <v>116</v>
      </c>
      <c r="B118" s="29"/>
      <c r="C118" s="89"/>
      <c r="D118" s="29"/>
      <c r="E118" s="87"/>
      <c r="F118" s="87"/>
      <c r="G118" s="87"/>
      <c r="H118" s="87"/>
      <c r="I118" s="87"/>
      <c r="J118" s="87"/>
      <c r="K118" s="29"/>
      <c r="L118" s="29"/>
      <c r="M118" s="85"/>
      <c r="N118" s="21"/>
      <c r="O118" s="3"/>
    </row>
    <row r="119" spans="1:18" x14ac:dyDescent="0.25">
      <c r="A119" s="29" t="s">
        <v>109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85"/>
      <c r="N119" s="21"/>
      <c r="O119" s="3"/>
      <c r="Q119" s="26"/>
      <c r="R119" s="26"/>
    </row>
    <row r="120" spans="1:18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85"/>
      <c r="N120" s="21"/>
      <c r="O120" s="3"/>
      <c r="Q120" s="26"/>
      <c r="R120" s="26"/>
    </row>
    <row r="121" spans="1:18" x14ac:dyDescent="0.25">
      <c r="A121" s="29" t="s">
        <v>122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85"/>
      <c r="N121" s="21"/>
      <c r="O121" s="3"/>
      <c r="Q121" s="26"/>
      <c r="R121" s="26"/>
    </row>
    <row r="122" spans="1:18" x14ac:dyDescent="0.25">
      <c r="A122" s="29" t="s">
        <v>108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85"/>
      <c r="N122" s="21"/>
      <c r="O122" s="3"/>
      <c r="Q122" s="26"/>
      <c r="R122" s="26"/>
    </row>
    <row r="123" spans="1:18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85"/>
      <c r="N123" s="21"/>
      <c r="O123" s="3"/>
      <c r="Q123" s="26"/>
      <c r="R123" s="26"/>
    </row>
    <row r="124" spans="1:18" ht="13" x14ac:dyDescent="0.3">
      <c r="A124" s="132" t="s">
        <v>123</v>
      </c>
      <c r="B124" s="8"/>
      <c r="C124" s="8"/>
      <c r="D124" s="8"/>
      <c r="E124" s="8"/>
      <c r="F124" s="76"/>
      <c r="G124" s="74"/>
      <c r="H124" s="74"/>
      <c r="I124" s="77"/>
      <c r="J124" s="71"/>
      <c r="K124" s="71"/>
      <c r="L124" s="75"/>
      <c r="M124" s="78"/>
      <c r="N124" s="21"/>
      <c r="O124" s="3"/>
      <c r="P124" s="1"/>
      <c r="Q124" s="26"/>
      <c r="R124" s="26"/>
    </row>
    <row r="125" spans="1:18" ht="13" x14ac:dyDescent="0.3">
      <c r="A125" s="10" t="s">
        <v>140</v>
      </c>
      <c r="B125" s="8"/>
      <c r="C125" s="8"/>
      <c r="D125" s="8"/>
      <c r="E125" s="8"/>
      <c r="F125" s="79"/>
      <c r="G125" s="74"/>
      <c r="H125" s="74"/>
      <c r="I125" s="8"/>
      <c r="J125" s="75"/>
      <c r="K125" s="75"/>
      <c r="L125" s="75"/>
      <c r="M125" s="73"/>
      <c r="N125" s="21"/>
      <c r="O125" s="3"/>
      <c r="P125" s="1"/>
      <c r="Q125" s="26"/>
      <c r="R125" s="26"/>
    </row>
    <row r="126" spans="1:18" x14ac:dyDescent="0.25">
      <c r="A126" s="10" t="s">
        <v>145</v>
      </c>
      <c r="B126" s="71"/>
      <c r="C126" s="10"/>
      <c r="D126" s="10"/>
      <c r="E126" s="10"/>
      <c r="F126" s="79"/>
      <c r="G126" s="74"/>
      <c r="H126" s="74"/>
      <c r="I126" s="10"/>
      <c r="J126" s="21"/>
      <c r="K126" s="21"/>
      <c r="L126" s="21"/>
      <c r="M126" s="73"/>
      <c r="N126" s="21"/>
      <c r="O126" s="3"/>
      <c r="P126" s="1"/>
      <c r="Q126" s="1"/>
      <c r="R126" s="26"/>
    </row>
    <row r="127" spans="1:18" x14ac:dyDescent="0.25">
      <c r="A127" s="10" t="s">
        <v>144</v>
      </c>
      <c r="B127" s="10"/>
      <c r="C127" s="10"/>
      <c r="D127" s="10"/>
      <c r="E127" s="80"/>
      <c r="F127" s="71"/>
      <c r="G127" s="81"/>
      <c r="H127" s="81"/>
      <c r="I127" s="81"/>
      <c r="J127" s="81"/>
      <c r="K127" s="81"/>
      <c r="L127" s="82"/>
      <c r="M127" s="21"/>
      <c r="N127" s="21"/>
      <c r="O127" s="3"/>
      <c r="P127" s="1"/>
      <c r="Q127" s="3"/>
    </row>
    <row r="128" spans="1:18" ht="13" x14ac:dyDescent="0.3">
      <c r="A128" s="81" t="s">
        <v>133</v>
      </c>
      <c r="B128" s="71"/>
      <c r="C128" s="10"/>
      <c r="D128" s="10"/>
      <c r="E128" s="10"/>
      <c r="F128" s="79"/>
      <c r="G128" s="74"/>
      <c r="H128" s="74"/>
      <c r="I128" s="10"/>
      <c r="J128" s="21"/>
      <c r="K128" s="21"/>
      <c r="L128" s="21"/>
      <c r="M128" s="75"/>
      <c r="N128" s="21"/>
      <c r="O128" s="3"/>
      <c r="P128" s="1"/>
    </row>
    <row r="129" spans="1:16" x14ac:dyDescent="0.25">
      <c r="A129" s="138" t="s">
        <v>134</v>
      </c>
      <c r="B129" s="10"/>
      <c r="C129" s="10"/>
      <c r="D129" s="10"/>
      <c r="E129" s="80"/>
      <c r="F129" s="71"/>
      <c r="G129" s="81"/>
      <c r="H129" s="81"/>
      <c r="I129" s="81"/>
      <c r="J129" s="81"/>
      <c r="K129" s="81"/>
      <c r="L129" s="82"/>
      <c r="M129" s="21"/>
      <c r="N129" s="21"/>
      <c r="O129" s="3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"/>
      <c r="M130" s="3"/>
      <c r="N130" s="3"/>
      <c r="O130" s="3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3"/>
      <c r="N131" s="3"/>
      <c r="O131" s="3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</row>
    <row r="133" spans="1:16" x14ac:dyDescent="0.25">
      <c r="I133" s="1"/>
      <c r="M133" s="3"/>
      <c r="N133" s="3"/>
      <c r="O133" s="3"/>
      <c r="P133" s="1"/>
    </row>
    <row r="134" spans="1:16" x14ac:dyDescent="0.25">
      <c r="G134" s="1"/>
      <c r="H134" s="1"/>
      <c r="I134" s="1"/>
      <c r="O134" s="3"/>
      <c r="P134" s="1"/>
    </row>
    <row r="135" spans="1:16" x14ac:dyDescent="0.25">
      <c r="G135" s="1"/>
      <c r="H135" s="1"/>
      <c r="I135" s="1"/>
      <c r="O135" s="25"/>
    </row>
    <row r="136" spans="1:16" x14ac:dyDescent="0.25">
      <c r="G136" s="1"/>
      <c r="H136" s="1"/>
      <c r="I136" s="1"/>
      <c r="O136" s="25"/>
    </row>
    <row r="137" spans="1:16" x14ac:dyDescent="0.25">
      <c r="A137" s="1"/>
      <c r="G137" s="1"/>
      <c r="H137" s="1"/>
      <c r="O137" s="25"/>
    </row>
  </sheetData>
  <mergeCells count="13">
    <mergeCell ref="C2:N2"/>
    <mergeCell ref="C3:N3"/>
    <mergeCell ref="I6:J6"/>
    <mergeCell ref="I7:J7"/>
    <mergeCell ref="F6:G6"/>
    <mergeCell ref="A6:C6"/>
    <mergeCell ref="L7:N7"/>
    <mergeCell ref="O4:P4"/>
    <mergeCell ref="K109:M109"/>
    <mergeCell ref="D4:L4"/>
    <mergeCell ref="L6:N6"/>
    <mergeCell ref="D5:L5"/>
    <mergeCell ref="A96:N96"/>
  </mergeCells>
  <phoneticPr fontId="0" type="noConversion"/>
  <hyperlinks>
    <hyperlink ref="C91" r:id="rId1" display="http://aede.osu.edu/resources/docs/pdf/UDSIO6SG-9315-IQAW-X7QLG33KLHMNAZZ6.pdf"/>
    <hyperlink ref="A114" r:id="rId2"/>
    <hyperlink ref="A129" r:id="rId3"/>
  </hyperlinks>
  <printOptions horizontalCentered="1"/>
  <pageMargins left="0.5" right="0.5" top="0.5" bottom="0.5" header="0.5" footer="0.5"/>
  <pageSetup scale="77" fitToHeight="2" orientation="portrait" r:id="rId4"/>
  <headerFooter alignWithMargins="0"/>
  <rowBreaks count="1" manualBreakCount="1">
    <brk id="56" max="13" man="1"/>
  </rowBreaks>
  <colBreaks count="1" manualBreakCount="1">
    <brk id="16" max="96" man="1"/>
  </colBreaks>
  <ignoredErrors>
    <ignoredError sqref="M101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9" sqref="J9"/>
    </sheetView>
  </sheetViews>
  <sheetFormatPr defaultRowHeight="12.5" x14ac:dyDescent="0.25"/>
  <cols>
    <col min="2" max="2" width="13" customWidth="1"/>
    <col min="3" max="3" width="14.7265625" customWidth="1"/>
    <col min="4" max="4" width="12.26953125" customWidth="1"/>
    <col min="5" max="5" width="11.453125" customWidth="1"/>
    <col min="6" max="6" width="10.453125" customWidth="1"/>
    <col min="7" max="7" width="9.453125" customWidth="1"/>
    <col min="8" max="9" width="10.7265625" customWidth="1"/>
    <col min="10" max="10" width="10.453125" customWidth="1"/>
  </cols>
  <sheetData>
    <row r="1" spans="1:10" x14ac:dyDescent="0.25">
      <c r="A1" s="124"/>
      <c r="B1" s="124"/>
      <c r="C1" s="124" t="s">
        <v>93</v>
      </c>
      <c r="D1" s="124" t="s">
        <v>94</v>
      </c>
      <c r="E1" s="124" t="s">
        <v>95</v>
      </c>
      <c r="F1" s="124" t="s">
        <v>96</v>
      </c>
      <c r="G1" s="124" t="s">
        <v>97</v>
      </c>
      <c r="H1" s="124" t="s">
        <v>98</v>
      </c>
      <c r="I1" s="124" t="s">
        <v>100</v>
      </c>
      <c r="J1" s="124" t="s">
        <v>99</v>
      </c>
    </row>
    <row r="2" spans="1:10" x14ac:dyDescent="0.25">
      <c r="A2" s="33" t="s">
        <v>105</v>
      </c>
      <c r="B2" s="33"/>
      <c r="C2" s="108">
        <f>(alfhay!F98+(alfhay!F98*0.3)+D2)/2</f>
        <v>21506.25</v>
      </c>
      <c r="D2" s="109">
        <f>(alfhay!F98-(alfhay!F98*0.3))/8</f>
        <v>2712.5</v>
      </c>
      <c r="E2" s="109">
        <f t="shared" ref="E2:E9" si="0">C2*0.06</f>
        <v>1290.375</v>
      </c>
      <c r="F2" s="109">
        <f t="shared" ref="F2:F9" si="1">C2*0.005</f>
        <v>107.53125</v>
      </c>
      <c r="G2" s="109">
        <f t="shared" ref="G2:G9" si="2">C2*0.01</f>
        <v>215.0625</v>
      </c>
      <c r="H2" s="109">
        <f>SUM(D2:G2)</f>
        <v>4325.46875</v>
      </c>
      <c r="I2" s="110">
        <f>alfhay!G98</f>
        <v>400</v>
      </c>
      <c r="J2" s="109">
        <f>H2/I2</f>
        <v>10.813671875000001</v>
      </c>
    </row>
    <row r="3" spans="1:10" x14ac:dyDescent="0.25">
      <c r="A3" s="40" t="s">
        <v>86</v>
      </c>
      <c r="B3" s="40"/>
      <c r="C3" s="111">
        <f>(alfhay!F99+(alfhay!F99*0.3)+D3)/2</f>
        <v>18037.5</v>
      </c>
      <c r="D3" s="112">
        <f>(alfhay!F99-(alfhay!F99*0.3))/8</f>
        <v>2275</v>
      </c>
      <c r="E3" s="112">
        <f t="shared" si="0"/>
        <v>1082.25</v>
      </c>
      <c r="F3" s="112">
        <f t="shared" si="1"/>
        <v>90.1875</v>
      </c>
      <c r="G3" s="112">
        <f t="shared" si="2"/>
        <v>180.375</v>
      </c>
      <c r="H3" s="112">
        <f t="shared" ref="H3:H9" si="3">SUM(D3:G3)</f>
        <v>3627.8125</v>
      </c>
      <c r="I3" s="113">
        <f>alfhay!G99</f>
        <v>400</v>
      </c>
      <c r="J3" s="112">
        <f t="shared" ref="J3:J9" si="4">H3/I3</f>
        <v>9.0695312500000007</v>
      </c>
    </row>
    <row r="4" spans="1:10" x14ac:dyDescent="0.25">
      <c r="A4" s="40" t="s">
        <v>137</v>
      </c>
      <c r="B4" s="40"/>
      <c r="C4" s="111">
        <f>(alfhay!F100+(alfhay!F100*0.3)+D4)/2</f>
        <v>31218.75</v>
      </c>
      <c r="D4" s="112">
        <f>(alfhay!F100-(alfhay!F100*0.3))/8</f>
        <v>3937.5</v>
      </c>
      <c r="E4" s="112">
        <f t="shared" si="0"/>
        <v>1873.125</v>
      </c>
      <c r="F4" s="112">
        <f t="shared" si="1"/>
        <v>156.09375</v>
      </c>
      <c r="G4" s="112">
        <f t="shared" si="2"/>
        <v>312.1875</v>
      </c>
      <c r="H4" s="112">
        <f t="shared" si="3"/>
        <v>6278.90625</v>
      </c>
      <c r="I4" s="113">
        <f>alfhay!G100</f>
        <v>400</v>
      </c>
      <c r="J4" s="112">
        <f t="shared" si="4"/>
        <v>15.697265625</v>
      </c>
    </row>
    <row r="5" spans="1:10" x14ac:dyDescent="0.25">
      <c r="A5" s="40" t="s">
        <v>124</v>
      </c>
      <c r="B5" s="40"/>
      <c r="C5" s="111">
        <f>(alfhay!F101+(alfhay!F101*0.3)+D5)/2</f>
        <v>11100</v>
      </c>
      <c r="D5" s="112">
        <f>(alfhay!F101-(alfhay!F101*0.3))/8</f>
        <v>1400</v>
      </c>
      <c r="E5" s="112">
        <f t="shared" si="0"/>
        <v>666</v>
      </c>
      <c r="F5" s="112">
        <f t="shared" si="1"/>
        <v>55.5</v>
      </c>
      <c r="G5" s="112">
        <f t="shared" si="2"/>
        <v>111</v>
      </c>
      <c r="H5" s="112">
        <f t="shared" si="3"/>
        <v>2232.5</v>
      </c>
      <c r="I5" s="113">
        <f>alfhay!G101</f>
        <v>400</v>
      </c>
      <c r="J5" s="112">
        <f t="shared" si="4"/>
        <v>5.5812499999999998</v>
      </c>
    </row>
    <row r="6" spans="1:10" x14ac:dyDescent="0.25">
      <c r="A6" s="40" t="s">
        <v>83</v>
      </c>
      <c r="B6" s="40"/>
      <c r="C6" s="111">
        <f>(alfhay!F102+(alfhay!F102*0.34)+D6)/2</f>
        <v>8535</v>
      </c>
      <c r="D6" s="112">
        <f>(alfhay!F102-(alfhay!F102*0.34))/8</f>
        <v>990</v>
      </c>
      <c r="E6" s="112">
        <f t="shared" si="0"/>
        <v>512.1</v>
      </c>
      <c r="F6" s="112">
        <f t="shared" si="1"/>
        <v>42.675000000000004</v>
      </c>
      <c r="G6" s="112">
        <f t="shared" si="2"/>
        <v>85.350000000000009</v>
      </c>
      <c r="H6" s="112">
        <f t="shared" si="3"/>
        <v>1630.1249999999998</v>
      </c>
      <c r="I6" s="113">
        <f>alfhay!G102</f>
        <v>2000</v>
      </c>
      <c r="J6" s="112">
        <f t="shared" si="4"/>
        <v>0.81506249999999991</v>
      </c>
    </row>
    <row r="7" spans="1:10" x14ac:dyDescent="0.25">
      <c r="A7" s="40" t="s">
        <v>146</v>
      </c>
      <c r="B7" s="40"/>
      <c r="C7" s="111">
        <f>(alfhay!F103+(alfhay!F103*0.34)+D7)/2</f>
        <v>184213.75</v>
      </c>
      <c r="D7" s="112">
        <f>(alfhay!F103-(alfhay!F103*0.34))/8</f>
        <v>21367.5</v>
      </c>
      <c r="E7" s="112">
        <f>C7*0.06</f>
        <v>11052.824999999999</v>
      </c>
      <c r="F7" s="112">
        <f>C7*0.005</f>
        <v>921.06875000000002</v>
      </c>
      <c r="G7" s="112">
        <f>C7*0.01</f>
        <v>1842.1375</v>
      </c>
      <c r="H7" s="112">
        <f>SUM(D7:G7)</f>
        <v>35183.531249999993</v>
      </c>
      <c r="I7" s="113">
        <f>alfhay!G103</f>
        <v>2000</v>
      </c>
      <c r="J7" s="112">
        <f>H7/I7</f>
        <v>17.591765624999997</v>
      </c>
    </row>
    <row r="8" spans="1:10" x14ac:dyDescent="0.25">
      <c r="A8" s="40" t="s">
        <v>146</v>
      </c>
      <c r="B8" s="40"/>
      <c r="C8" s="111">
        <f>(alfhay!F104+(alfhay!F104*0.34)+D8)/2</f>
        <v>173545</v>
      </c>
      <c r="D8" s="112">
        <f>(alfhay!F104-(alfhay!F104*0.34))/8</f>
        <v>20130</v>
      </c>
      <c r="E8" s="112">
        <f>C8*0.06</f>
        <v>10412.699999999999</v>
      </c>
      <c r="F8" s="112">
        <f>C8*0.005</f>
        <v>867.72500000000002</v>
      </c>
      <c r="G8" s="112">
        <f>C8*0.01</f>
        <v>1735.45</v>
      </c>
      <c r="H8" s="112">
        <f>SUM(D8:G8)</f>
        <v>33145.874999999993</v>
      </c>
      <c r="I8" s="113">
        <f>alfhay!G104</f>
        <v>2000</v>
      </c>
      <c r="J8" s="112">
        <f>H8/I8</f>
        <v>16.572937499999995</v>
      </c>
    </row>
    <row r="9" spans="1:10" x14ac:dyDescent="0.25">
      <c r="A9" s="45" t="s">
        <v>58</v>
      </c>
      <c r="B9" s="45"/>
      <c r="C9" s="114">
        <f>(alfhay!F105+(alfhay!F105*0.3)+D9)/2</f>
        <v>24281.25</v>
      </c>
      <c r="D9" s="115">
        <f>(alfhay!F105-(alfhay!F105*0.3))/8</f>
        <v>3062.5</v>
      </c>
      <c r="E9" s="115">
        <f t="shared" si="0"/>
        <v>1456.875</v>
      </c>
      <c r="F9" s="115">
        <f t="shared" si="1"/>
        <v>121.40625</v>
      </c>
      <c r="G9" s="115">
        <f t="shared" si="2"/>
        <v>242.8125</v>
      </c>
      <c r="H9" s="115">
        <f t="shared" si="3"/>
        <v>4883.59375</v>
      </c>
      <c r="I9" s="116">
        <f>alfhay!G105</f>
        <v>2000</v>
      </c>
      <c r="J9" s="115">
        <f t="shared" si="4"/>
        <v>2.4417968750000001</v>
      </c>
    </row>
  </sheetData>
  <phoneticPr fontId="16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alfhay</vt:lpstr>
      <vt:lpstr>Machinery Costs</vt:lpstr>
      <vt:lpstr>alfhay!Print_Area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2013-03-11T15:59:13Z</cp:lastPrinted>
  <dcterms:created xsi:type="dcterms:W3CDTF">2002-12-27T16:13:54Z</dcterms:created>
  <dcterms:modified xsi:type="dcterms:W3CDTF">2016-12-01T18:04:38Z</dcterms:modified>
</cp:coreProperties>
</file>