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5480" windowHeight="11640" activeTab="0"/>
  </bookViews>
  <sheets>
    <sheet name="corn-cons" sheetId="1" r:id="rId1"/>
    <sheet name="machinery costs" sheetId="2" r:id="rId2"/>
    <sheet name="Quick Stats" sheetId="3" r:id="rId3"/>
  </sheets>
  <definedNames>
    <definedName name="_xlnm.Print_Area" localSheetId="0">'corn-cons'!$A$1:$N$131</definedName>
  </definedNames>
  <calcPr fullCalcOnLoad="1"/>
</workbook>
</file>

<file path=xl/sharedStrings.xml><?xml version="1.0" encoding="utf-8"?>
<sst xmlns="http://schemas.openxmlformats.org/spreadsheetml/2006/main" count="211" uniqueCount="179">
  <si>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</si>
  <si>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</si>
  <si>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</si>
  <si>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</si>
  <si>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</si>
  <si>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</si>
  <si>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</si>
  <si>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</si>
  <si>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</si>
  <si>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</si>
  <si>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</si>
  <si>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</si>
  <si>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</si>
  <si>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</si>
  <si>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</si>
  <si>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</si>
  <si>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</si>
  <si>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</si>
  <si>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</si>
  <si>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</si>
  <si>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</si>
  <si>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</si>
  <si>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</si>
  <si>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</si>
  <si>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</si>
  <si>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</si>
  <si>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 xml:space="preserve">Assumes only maintenance application of fertilizer needed, corn-soybean rotation, 3.8 O.M., 20 CEC, </t>
  </si>
  <si>
    <t>An additional $0.01 is added per bushel for electricity</t>
  </si>
  <si>
    <t>See table below for specific calculations.</t>
  </si>
  <si>
    <t xml:space="preserve">Part or all of labor may be a variable cost if paid labor varies with acres farmed. It’s a fixed cost 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</si>
  <si>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</si>
  <si>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</si>
  <si>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</si>
  <si>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</si>
  <si>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</si>
  <si>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</si>
  <si>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50 ft. Boom Sprayer</t>
  </si>
  <si>
    <t>8 Row Planter</t>
  </si>
  <si>
    <t>75 HP Tractor</t>
  </si>
  <si>
    <t>Price of Diesel Fuel =</t>
  </si>
  <si>
    <t>*Fuel calculations are based on the implement plus tractor.</t>
  </si>
  <si>
    <r>
      <t xml:space="preserve">Fertilizer </t>
    </r>
    <r>
      <rPr>
        <vertAlign val="super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</si>
  <si>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</si>
  <si>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</si>
  <si>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5</t>
    </r>
  </si>
  <si>
    <r>
      <t xml:space="preserve">Drying - Fuel &amp; Electric only </t>
    </r>
    <r>
      <rPr>
        <vertAlign val="superscript"/>
        <sz val="10"/>
        <rFont val="Arial"/>
        <family val="2"/>
      </rPr>
      <t>6</t>
    </r>
  </si>
  <si>
    <t>Corn Head 20'</t>
  </si>
  <si>
    <t>Reflects 1500 acres, conservation tillage corn/no-till RR soybean rotation. See table below for specific calculations.</t>
  </si>
  <si>
    <t xml:space="preserve">Machines are all assumed to be new and in the first year of use (Except for Semi Tractor Trailer and Pickup Truck). </t>
  </si>
  <si>
    <t>TOTAL RECEIPTS</t>
  </si>
  <si>
    <t>DP Yields</t>
  </si>
  <si>
    <t>CC Yields</t>
  </si>
  <si>
    <t>Fuel*        (gal/A)</t>
  </si>
  <si>
    <t>LDP is calculated as loan rate minus market price. LDP is 0 if market price is greater than loan rate.</t>
  </si>
  <si>
    <t>Counter Cyclical Payments (CCP) are calculated and included when market price + DP is less than</t>
  </si>
  <si>
    <t>the Target Price of $2.63/bu. Calculation of the CCP is based on Counter Cyclical (CC) Yield multiplied</t>
  </si>
  <si>
    <t>(Direct payments are paid only on 85% of base acres.) Direct payment yields are calculated as 85%,</t>
  </si>
  <si>
    <r>
      <t xml:space="preserve">LDP </t>
    </r>
    <r>
      <rPr>
        <vertAlign val="superscript"/>
        <sz val="10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</si>
  <si>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</si>
  <si>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</si>
  <si>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</si>
  <si>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**Semi Tractor Trailer and Pickup Truck are assumed to be used equipment.</t>
  </si>
  <si>
    <t>***</t>
  </si>
  <si>
    <t>***Fuel for Semi is included in Budget as Trucking - Fuel Only</t>
  </si>
  <si>
    <t>Fuel</t>
  </si>
  <si>
    <t>F&amp;L</t>
  </si>
  <si>
    <t>Author: Barry Ward, Leader Production Business Management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</si>
  <si>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</si>
  <si>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</si>
  <si>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</si>
  <si>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</si>
  <si>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</si>
  <si>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</si>
  <si>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</si>
  <si>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Fertilizer Spreader</t>
  </si>
  <si>
    <t>by 85% multiplied by the CCP Rate ((Target Price - (Mkt Price + DP)). CC Yield assumed to be</t>
  </si>
  <si>
    <t>See table below for specific calculations.  Lubrications costs are assumed to be 10% of fuel costs</t>
  </si>
  <si>
    <t>/gal LP</t>
  </si>
  <si>
    <t>PROD.</t>
  </si>
  <si>
    <t>NUMBERS</t>
  </si>
  <si>
    <t>County Loan Price</t>
  </si>
  <si>
    <t>-----</t>
  </si>
  <si>
    <t>Salvage Values are based on ASAE formulas.</t>
  </si>
  <si>
    <r>
      <t xml:space="preserve">Miscellaneous 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</si>
  <si>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 xml:space="preserve"> 12</t>
    </r>
  </si>
  <si>
    <r>
      <t xml:space="preserve">Hired Labor </t>
    </r>
    <r>
      <rPr>
        <vertAlign val="superscript"/>
        <sz val="10"/>
        <rFont val="Arial"/>
        <family val="2"/>
      </rPr>
      <t>13</t>
    </r>
  </si>
  <si>
    <r>
      <t>Labor Charge</t>
    </r>
    <r>
      <rPr>
        <vertAlign val="superscript"/>
        <sz val="10"/>
        <rFont val="Arial"/>
        <family val="2"/>
      </rPr>
      <t xml:space="preserve"> 14</t>
    </r>
  </si>
  <si>
    <r>
      <t>Mach. And Equip. Charge</t>
    </r>
    <r>
      <rPr>
        <vertAlign val="superscript"/>
        <sz val="10"/>
        <rFont val="Arial"/>
        <family val="2"/>
      </rPr>
      <t xml:space="preserve"> 15</t>
    </r>
  </si>
  <si>
    <r>
      <t xml:space="preserve">Trucking - Fuel Only </t>
    </r>
    <r>
      <rPr>
        <vertAlign val="superscript"/>
        <sz val="10"/>
        <rFont val="Arial"/>
        <family val="2"/>
      </rPr>
      <t>7</t>
    </r>
  </si>
  <si>
    <r>
      <t>Fuel, Oil, Grease</t>
    </r>
    <r>
      <rPr>
        <vertAlign val="superscript"/>
        <sz val="10"/>
        <rFont val="Arial"/>
        <family val="2"/>
      </rPr>
      <t xml:space="preserve"> 8</t>
    </r>
  </si>
  <si>
    <r>
      <t xml:space="preserve">Repairs </t>
    </r>
    <r>
      <rPr>
        <vertAlign val="superscript"/>
        <sz val="10"/>
        <rFont val="Arial"/>
        <family val="2"/>
      </rPr>
      <t>9</t>
    </r>
  </si>
  <si>
    <r>
      <t xml:space="preserve">Crop Insurance </t>
    </r>
    <r>
      <rPr>
        <vertAlign val="superscript"/>
        <sz val="10"/>
        <rFont val="Arial"/>
        <family val="2"/>
      </rPr>
      <t>10</t>
    </r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</si>
  <si>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</si>
  <si>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</si>
  <si>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</si>
  <si>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</si>
  <si>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</si>
  <si>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</si>
  <si>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</si>
  <si>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</si>
  <si>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These cells may be input manually, but macros will be overwritten!</t>
  </si>
  <si>
    <t>Machinery cost estimates, fuel estimates and cost calculations based on information from the "Farm Machinery Cost Estimates</t>
  </si>
  <si>
    <t>Semi Tractor/Trailer**</t>
  </si>
  <si>
    <t xml:space="preserve"> 6.0% Interest on Average Value, 0.5% Insurance Cost on Average Value and 1.0% Housing Cost on Average Value.</t>
  </si>
  <si>
    <t>Direct Payments (DP) are calculated by averaging the corn and soybean direct payment per acre.</t>
  </si>
  <si>
    <t>Direct payments are calculated by multiplying DP Yields by 85% by the DP Price of $0.44/bu. (soybeans) and $0.28/bu. (corn).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</si>
  <si>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</si>
  <si>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 xml:space="preserve">Direct Payment </t>
    </r>
    <r>
      <rPr>
        <vertAlign val="superscript"/>
        <sz val="10"/>
        <rFont val="Arial"/>
        <family val="2"/>
      </rPr>
      <t>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</si>
  <si>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</si>
  <si>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r>
      <t>Seed (kernels)</t>
    </r>
    <r>
      <rPr>
        <vertAlign val="superscript"/>
        <sz val="10"/>
        <rFont val="Arial"/>
        <family val="2"/>
      </rPr>
      <t>3</t>
    </r>
  </si>
  <si>
    <t>Program yields displayed for both: First Line - corn; Second Line - soybeans.</t>
  </si>
  <si>
    <t>200 HP Tractor</t>
  </si>
  <si>
    <t>Herbicide</t>
  </si>
  <si>
    <t>Fungicide</t>
  </si>
  <si>
    <t>Insecticide</t>
  </si>
  <si>
    <t>Seed Cost Per Bag</t>
  </si>
  <si>
    <t>/bag</t>
  </si>
  <si>
    <t>http://ohioline.osu.edu/ae-fact/pdf/cropland.pdf</t>
  </si>
  <si>
    <t>93.5% of Program Yield (113, 146 and 177 bpa).</t>
  </si>
  <si>
    <t xml:space="preserve"> Includes seed treatment at low level.</t>
  </si>
  <si>
    <t>Crop Insurance cost is based on CRC Insurance at 70% coverage level and 100% Price Protection Level. 2007 Cost Estimates.</t>
  </si>
  <si>
    <t xml:space="preserve">Labor rate includes cash wages plus benefits. </t>
  </si>
  <si>
    <t>Combine 275 HP</t>
  </si>
  <si>
    <t>RETURN TO LAND</t>
  </si>
  <si>
    <t>Updated:</t>
  </si>
  <si>
    <t>Price is based on up-to-date December Futures minus 0.30 Basis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</si>
  <si>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</si>
  <si>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</si>
  <si>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Trucking set at 0.09/bushel based on "12 miles or less" field to market.</t>
  </si>
  <si>
    <t>/ton     MAP(11-52-0):</t>
  </si>
  <si>
    <t>/ton     Potash(0-0-60):</t>
  </si>
  <si>
    <t>Fertilizer prices vary over time and by area.  Check with local sources for current prices. N cost includes N-serve.</t>
  </si>
  <si>
    <t>Seed price based on traited seed corn at $164/bag ($205/bag retail minus 20% in discounts). 80,000 kernals/bag.</t>
  </si>
  <si>
    <t>80%, and 80% of the Program Yields 113/bushels per acre (bpa), 146/bpa, and 177/bpa, respectively.</t>
  </si>
  <si>
    <t>N cost includes cost of N-Serve.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</si>
  <si>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</si>
  <si>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</si>
  <si>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</si>
  <si>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</si>
  <si>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</si>
  <si>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</si>
  <si>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</si>
  <si>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</si>
  <si>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</si>
  <si>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View next worksheet (tab below machinery costs) to view a number explanation</t>
  </si>
  <si>
    <t>Hours/ Year</t>
  </si>
  <si>
    <t>Acres/Year</t>
  </si>
  <si>
    <t>and soil test values of 25 ppm P/A and 150 ppm K/A.</t>
  </si>
  <si>
    <t>Interest on all variable costs, except drying and trucking, for 7 months at 9% interest rate.</t>
  </si>
  <si>
    <t>Average based on 2007-2008.  Land charges vary throughout the state, check your local rates.</t>
  </si>
  <si>
    <t>March 2008". See the reference online at:</t>
  </si>
  <si>
    <t>http://www.extension.umn.edu/distribution/businessmanagement/DF6696.pdf</t>
  </si>
  <si>
    <t>http://aede.osu.edu/resources/docs/pdf/UDSIO6SG-9315-IQAW-X7QLG33KLHMNAZZ6.pdf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</si>
  <si>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</si>
  <si>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</si>
  <si>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</si>
  <si>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</si>
  <si>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</si>
  <si>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</si>
  <si>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</si>
  <si>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</si>
  <si>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</si>
  <si>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</si>
  <si>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</si>
  <si>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</si>
  <si>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</si>
  <si>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</si>
  <si>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</si>
  <si>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Return to Land, Labor, Management</t>
  </si>
  <si>
    <t>CORN QUICK STATS - 2009</t>
  </si>
  <si>
    <t>CORN PRODUCTION BUDGET- 2009</t>
  </si>
  <si>
    <r>
      <t>Nitrogen (NH</t>
    </r>
    <r>
      <rPr>
        <vertAlign val="sub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</si>
  <si>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</si>
  <si>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</si>
  <si>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Return Above Total Costs</t>
  </si>
  <si>
    <t>Assumes UAN(28-0-0):</t>
  </si>
  <si>
    <t>Based on use of burndown: glyphosate/2,4-D; pre: Cinch ATZ; followed Steadfast ATZ</t>
  </si>
  <si>
    <t xml:space="preserve"> No-Tillage Practices: UAN</t>
  </si>
  <si>
    <t>Yield is based on survey "Ohio Cropland Values and Cash Rents 2007-08" (with trend yield increases added) located at: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</si>
</sst>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;;;"/>
    <numFmt numFmtId="169" formatCode="#,##0.000"/>
    <numFmt numFmtId="170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9" fontId="10" fillId="0" borderId="0" xfId="58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42" applyNumberFormat="1" applyFont="1" applyAlignment="1">
      <alignment horizontal="center"/>
    </xf>
    <xf numFmtId="9" fontId="10" fillId="0" borderId="0" xfId="58" applyFont="1" applyAlignment="1">
      <alignment horizontal="right"/>
    </xf>
    <xf numFmtId="167" fontId="10" fillId="0" borderId="0" xfId="42" applyNumberFormat="1" applyFont="1" applyAlignment="1">
      <alignment/>
    </xf>
    <xf numFmtId="2" fontId="11" fillId="0" borderId="0" xfId="0" applyNumberFormat="1" applyFont="1" applyAlignment="1">
      <alignment/>
    </xf>
    <xf numFmtId="167" fontId="11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left"/>
    </xf>
    <xf numFmtId="3" fontId="10" fillId="0" borderId="0" xfId="0" applyNumberFormat="1" applyFont="1" applyFill="1" applyAlignment="1">
      <alignment horizontal="center"/>
    </xf>
    <xf numFmtId="3" fontId="10" fillId="0" borderId="11" xfId="44" applyNumberFormat="1" applyFont="1" applyFill="1" applyBorder="1" applyAlignment="1">
      <alignment horizontal="center"/>
    </xf>
    <xf numFmtId="9" fontId="11" fillId="0" borderId="0" xfId="58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Fill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68" fontId="0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164" fontId="10" fillId="0" borderId="0" xfId="0" applyNumberFormat="1" applyFont="1" applyBorder="1" applyAlignment="1" quotePrefix="1">
      <alignment horizontal="center"/>
    </xf>
    <xf numFmtId="164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2" fontId="10" fillId="0" borderId="11" xfId="0" applyNumberFormat="1" applyFont="1" applyBorder="1" applyAlignment="1" quotePrefix="1">
      <alignment horizontal="center"/>
    </xf>
    <xf numFmtId="0" fontId="2" fillId="0" borderId="0" xfId="52" applyAlignment="1" applyProtection="1">
      <alignment/>
      <protection/>
    </xf>
    <xf numFmtId="49" fontId="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165" fontId="12" fillId="34" borderId="0" xfId="0" applyNumberFormat="1" applyFont="1" applyFill="1" applyAlignment="1">
      <alignment/>
    </xf>
    <xf numFmtId="1" fontId="12" fillId="34" borderId="11" xfId="0" applyNumberFormat="1" applyFont="1" applyFill="1" applyBorder="1" applyAlignment="1">
      <alignment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164" fontId="12" fillId="34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12" fillId="34" borderId="0" xfId="0" applyNumberFormat="1" applyFont="1" applyFill="1" applyAlignment="1">
      <alignment/>
    </xf>
    <xf numFmtId="0" fontId="12" fillId="34" borderId="0" xfId="0" applyFont="1" applyFill="1" applyAlignment="1">
      <alignment horizontal="center"/>
    </xf>
    <xf numFmtId="9" fontId="12" fillId="34" borderId="0" xfId="58" applyFont="1" applyFill="1" applyAlignment="1">
      <alignment horizontal="center"/>
    </xf>
    <xf numFmtId="165" fontId="1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35" borderId="0" xfId="0" applyNumberFormat="1" applyFont="1" applyFill="1" applyAlignment="1">
      <alignment/>
    </xf>
    <xf numFmtId="2" fontId="4" fillId="35" borderId="13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166" fontId="10" fillId="34" borderId="0" xfId="0" applyNumberFormat="1" applyFont="1" applyFill="1" applyAlignment="1">
      <alignment horizontal="center"/>
    </xf>
    <xf numFmtId="166" fontId="10" fillId="34" borderId="11" xfId="44" applyNumberFormat="1" applyFont="1" applyFill="1" applyBorder="1" applyAlignment="1">
      <alignment horizontal="center"/>
    </xf>
    <xf numFmtId="3" fontId="10" fillId="34" borderId="0" xfId="0" applyNumberFormat="1" applyFont="1" applyFill="1" applyAlignment="1">
      <alignment horizontal="center"/>
    </xf>
    <xf numFmtId="3" fontId="10" fillId="34" borderId="11" xfId="44" applyNumberFormat="1" applyFon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4" fontId="10" fillId="34" borderId="0" xfId="0" applyNumberFormat="1" applyFont="1" applyFill="1" applyAlignment="1">
      <alignment horizontal="center"/>
    </xf>
    <xf numFmtId="164" fontId="10" fillId="34" borderId="0" xfId="0" applyNumberFormat="1" applyFont="1" applyFill="1" applyBorder="1" applyAlignment="1">
      <alignment horizontal="center"/>
    </xf>
    <xf numFmtId="165" fontId="11" fillId="33" borderId="0" xfId="0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66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0" fillId="0" borderId="13" xfId="0" applyNumberFormat="1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0" fillId="0" borderId="0" xfId="0" applyNumberFormat="1" applyFont="1" applyAlignment="1" quotePrefix="1">
      <alignment/>
    </xf>
    <xf numFmtId="4" fontId="4" fillId="0" borderId="0" xfId="0" applyNumberFormat="1" applyFont="1" applyAlignment="1" quotePrefix="1">
      <alignment/>
    </xf>
    <xf numFmtId="2" fontId="12" fillId="33" borderId="0" xfId="0" applyNumberFormat="1" applyFont="1" applyFill="1" applyAlignment="1">
      <alignment/>
    </xf>
    <xf numFmtId="164" fontId="4" fillId="34" borderId="0" xfId="0" applyNumberFormat="1" applyFont="1" applyFill="1" applyAlignment="1">
      <alignment/>
    </xf>
    <xf numFmtId="0" fontId="13" fillId="0" borderId="0" xfId="5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2" fontId="10" fillId="0" borderId="0" xfId="0" applyNumberFormat="1" applyFont="1" applyAlignment="1" quotePrefix="1">
      <alignment/>
    </xf>
    <xf numFmtId="1" fontId="10" fillId="34" borderId="0" xfId="0" applyNumberFormat="1" applyFont="1" applyFill="1" applyAlignment="1">
      <alignment/>
    </xf>
    <xf numFmtId="169" fontId="12" fillId="34" borderId="0" xfId="0" applyNumberFormat="1" applyFont="1" applyFill="1" applyAlignment="1">
      <alignment/>
    </xf>
    <xf numFmtId="170" fontId="12" fillId="34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10" fillId="34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39" fontId="10" fillId="33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 wrapText="1"/>
    </xf>
    <xf numFmtId="2" fontId="10" fillId="33" borderId="1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 quotePrefix="1">
      <alignment horizontal="center"/>
    </xf>
    <xf numFmtId="2" fontId="10" fillId="0" borderId="11" xfId="0" applyNumberFormat="1" applyFont="1" applyFill="1" applyBorder="1" applyAlignment="1" quotePrefix="1">
      <alignment horizontal="center"/>
    </xf>
    <xf numFmtId="2" fontId="11" fillId="0" borderId="0" xfId="0" applyNumberFormat="1" applyFont="1" applyFill="1" applyAlignment="1">
      <alignment/>
    </xf>
    <xf numFmtId="2" fontId="10" fillId="33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/>
    </xf>
    <xf numFmtId="7" fontId="11" fillId="34" borderId="0" xfId="44" applyNumberFormat="1" applyFont="1" applyFill="1" applyAlignment="1">
      <alignment/>
    </xf>
    <xf numFmtId="0" fontId="16" fillId="0" borderId="0" xfId="0" applyFont="1" applyAlignment="1">
      <alignment/>
    </xf>
    <xf numFmtId="0" fontId="15" fillId="36" borderId="11" xfId="0" applyFont="1" applyFill="1" applyBorder="1" applyAlignment="1">
      <alignment/>
    </xf>
    <xf numFmtId="165" fontId="0" fillId="33" borderId="11" xfId="0" applyNumberFormat="1" applyFill="1" applyBorder="1" applyAlignment="1">
      <alignment horizontal="center"/>
    </xf>
    <xf numFmtId="0" fontId="15" fillId="37" borderId="14" xfId="0" applyFont="1" applyFill="1" applyBorder="1" applyAlignment="1">
      <alignment/>
    </xf>
    <xf numFmtId="0" fontId="17" fillId="37" borderId="15" xfId="0" applyFont="1" applyFill="1" applyBorder="1" applyAlignment="1">
      <alignment/>
    </xf>
    <xf numFmtId="0" fontId="17" fillId="0" borderId="0" xfId="0" applyFont="1" applyAlignment="1">
      <alignment/>
    </xf>
    <xf numFmtId="0" fontId="17" fillId="35" borderId="11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165" fontId="18" fillId="35" borderId="12" xfId="0" applyNumberFormat="1" applyFont="1" applyFill="1" applyBorder="1" applyAlignment="1">
      <alignment/>
    </xf>
    <xf numFmtId="0" fontId="17" fillId="35" borderId="10" xfId="0" applyFont="1" applyFill="1" applyBorder="1" applyAlignment="1">
      <alignment/>
    </xf>
    <xf numFmtId="165" fontId="17" fillId="0" borderId="0" xfId="0" applyNumberFormat="1" applyFont="1" applyAlignment="1">
      <alignment/>
    </xf>
    <xf numFmtId="0" fontId="15" fillId="37" borderId="1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166" fontId="18" fillId="35" borderId="10" xfId="0" applyNumberFormat="1" applyFont="1" applyFill="1" applyBorder="1" applyAlignment="1">
      <alignment/>
    </xf>
    <xf numFmtId="166" fontId="18" fillId="35" borderId="0" xfId="0" applyNumberFormat="1" applyFont="1" applyFill="1" applyBorder="1" applyAlignment="1">
      <alignment/>
    </xf>
    <xf numFmtId="7" fontId="18" fillId="35" borderId="11" xfId="0" applyNumberFormat="1" applyFont="1" applyFill="1" applyBorder="1" applyAlignment="1">
      <alignment/>
    </xf>
    <xf numFmtId="1" fontId="15" fillId="36" borderId="16" xfId="0" applyNumberFormat="1" applyFont="1" applyFill="1" applyBorder="1" applyAlignment="1">
      <alignment/>
    </xf>
    <xf numFmtId="1" fontId="15" fillId="36" borderId="17" xfId="0" applyNumberFormat="1" applyFont="1" applyFill="1" applyBorder="1" applyAlignment="1">
      <alignment/>
    </xf>
    <xf numFmtId="0" fontId="17" fillId="37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5" fontId="15" fillId="35" borderId="10" xfId="0" applyNumberFormat="1" applyFont="1" applyFill="1" applyBorder="1" applyAlignment="1">
      <alignment/>
    </xf>
    <xf numFmtId="165" fontId="15" fillId="35" borderId="15" xfId="0" applyNumberFormat="1" applyFont="1" applyFill="1" applyBorder="1" applyAlignment="1">
      <alignment/>
    </xf>
    <xf numFmtId="165" fontId="17" fillId="0" borderId="10" xfId="0" applyNumberFormat="1" applyFont="1" applyFill="1" applyBorder="1" applyAlignment="1">
      <alignment/>
    </xf>
    <xf numFmtId="165" fontId="15" fillId="35" borderId="0" xfId="0" applyNumberFormat="1" applyFont="1" applyFill="1" applyBorder="1" applyAlignment="1">
      <alignment/>
    </xf>
    <xf numFmtId="165" fontId="15" fillId="35" borderId="18" xfId="0" applyNumberFormat="1" applyFont="1" applyFill="1" applyBorder="1" applyAlignment="1">
      <alignment/>
    </xf>
    <xf numFmtId="165" fontId="15" fillId="35" borderId="11" xfId="0" applyNumberFormat="1" applyFont="1" applyFill="1" applyBorder="1" applyAlignment="1">
      <alignment/>
    </xf>
    <xf numFmtId="165" fontId="15" fillId="35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165" fontId="15" fillId="35" borderId="12" xfId="0" applyNumberFormat="1" applyFont="1" applyFill="1" applyBorder="1" applyAlignment="1">
      <alignment/>
    </xf>
    <xf numFmtId="165" fontId="15" fillId="35" borderId="19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/>
    </xf>
    <xf numFmtId="2" fontId="11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8" borderId="2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0" fontId="14" fillId="38" borderId="23" xfId="0" applyFont="1" applyFill="1" applyBorder="1" applyAlignment="1">
      <alignment horizontal="center"/>
    </xf>
    <xf numFmtId="0" fontId="14" fillId="38" borderId="24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left"/>
    </xf>
    <xf numFmtId="0" fontId="15" fillId="35" borderId="10" xfId="0" applyFont="1" applyFill="1" applyBorder="1" applyAlignment="1">
      <alignment horizontal="center"/>
    </xf>
    <xf numFmtId="0" fontId="15" fillId="35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ension.umn.edu/distribution/businessmanagement/DF6696.pdf" TargetMode="External" /><Relationship Id="rId2" Type="http://schemas.openxmlformats.org/officeDocument/2006/relationships/hyperlink" Target="http://aede.osu.edu/resources/docs/pdf/UDSIO6SG-9315-IQAW-X7QLG33KLHMNAZZ6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view="pageBreakPreview" zoomScaleSheetLayoutView="100" workbookViewId="0" topLeftCell="A1">
      <selection activeCell="C1" sqref="C1:M1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7.00390625" style="0" customWidth="1"/>
    <col min="5" max="5" width="8.57421875" style="0" customWidth="1"/>
    <col min="6" max="7" width="8.7109375" style="0" customWidth="1"/>
    <col min="8" max="8" width="8.8515625" style="0" customWidth="1"/>
    <col min="9" max="9" width="9.8515625" style="0" customWidth="1"/>
    <col min="10" max="10" width="7.00390625" style="0" customWidth="1"/>
    <col min="11" max="11" width="7.28125" style="0" customWidth="1"/>
    <col min="12" max="12" width="8.00390625" style="18" customWidth="1"/>
    <col min="13" max="13" width="7.8515625" style="18" customWidth="1"/>
    <col min="14" max="14" width="8.00390625" style="18" customWidth="1"/>
    <col min="15" max="15" width="8.7109375" style="0" customWidth="1"/>
  </cols>
  <sheetData>
    <row r="1" spans="1:15" ht="15.75">
      <c r="A1" s="1"/>
      <c r="B1" s="1"/>
      <c r="C1" s="194" t="s">
        <v>170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29"/>
      <c r="O1" s="1"/>
    </row>
    <row r="2" spans="1:15" ht="15.75">
      <c r="A2" s="1"/>
      <c r="B2" s="1"/>
      <c r="C2" s="195" t="s">
        <v>177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3"/>
      <c r="O2" s="1"/>
    </row>
    <row r="3" spans="1:15" ht="12.75">
      <c r="A3" s="1"/>
      <c r="B3" s="1"/>
      <c r="C3" s="1"/>
      <c r="D3" s="1"/>
      <c r="E3" s="200" t="s">
        <v>66</v>
      </c>
      <c r="F3" s="201"/>
      <c r="G3" s="201"/>
      <c r="H3" s="201"/>
      <c r="I3" s="201"/>
      <c r="J3" s="201"/>
      <c r="K3" s="201"/>
      <c r="L3" s="3"/>
      <c r="N3" s="129"/>
      <c r="O3" s="1"/>
    </row>
    <row r="4" spans="1:15" ht="15.75">
      <c r="A4" s="1"/>
      <c r="B4" s="1"/>
      <c r="C4" s="1"/>
      <c r="D4" s="1"/>
      <c r="F4" s="1"/>
      <c r="H4" s="57"/>
      <c r="I4" s="2"/>
      <c r="J4" s="1"/>
      <c r="K4" s="3"/>
      <c r="L4" s="61" t="s">
        <v>124</v>
      </c>
      <c r="M4" s="198">
        <v>39835</v>
      </c>
      <c r="N4" s="199"/>
      <c r="O4" s="1"/>
    </row>
    <row r="5" spans="1:15" ht="15.75">
      <c r="A5" s="1"/>
      <c r="B5" s="1"/>
      <c r="C5" s="1"/>
      <c r="D5" s="1"/>
      <c r="E5" s="57"/>
      <c r="F5" s="57"/>
      <c r="G5" s="1"/>
      <c r="H5" s="1"/>
      <c r="I5" s="2"/>
      <c r="J5" s="1"/>
      <c r="K5" s="52"/>
      <c r="L5" s="3"/>
      <c r="M5" s="3"/>
      <c r="N5" s="3"/>
      <c r="O5" s="1"/>
    </row>
    <row r="6" spans="1:14" ht="14.25">
      <c r="A6" s="196" t="s">
        <v>0</v>
      </c>
      <c r="B6" s="196"/>
      <c r="C6" s="196"/>
      <c r="D6" s="196"/>
      <c r="E6" s="197" t="s">
        <v>1</v>
      </c>
      <c r="F6" s="197"/>
      <c r="G6" s="197"/>
      <c r="H6" s="58" t="s">
        <v>3</v>
      </c>
      <c r="I6" s="49" t="s">
        <v>2</v>
      </c>
      <c r="J6" s="4"/>
      <c r="L6" s="47" t="s">
        <v>106</v>
      </c>
      <c r="M6" s="47"/>
      <c r="N6" s="4" t="s">
        <v>3</v>
      </c>
    </row>
    <row r="7" spans="1:14" ht="12.75">
      <c r="A7" s="6"/>
      <c r="B7" s="6"/>
      <c r="C7" s="6"/>
      <c r="D7" s="6"/>
      <c r="E7" s="6"/>
      <c r="F7" s="6"/>
      <c r="G7" s="6"/>
      <c r="H7" s="7" t="s">
        <v>78</v>
      </c>
      <c r="I7" s="7" t="s">
        <v>4</v>
      </c>
      <c r="J7" s="7"/>
      <c r="K7" s="8"/>
      <c r="L7" s="8"/>
      <c r="M7" s="8"/>
      <c r="N7" s="7" t="s">
        <v>5</v>
      </c>
    </row>
    <row r="8" spans="1:14" ht="12.75">
      <c r="A8" s="9"/>
      <c r="B8" s="9"/>
      <c r="C8" s="9"/>
      <c r="D8" s="9"/>
      <c r="E8" s="9"/>
      <c r="F8" s="9"/>
      <c r="G8" s="9"/>
      <c r="H8" s="59" t="s">
        <v>79</v>
      </c>
      <c r="I8" s="9"/>
      <c r="J8" s="9"/>
      <c r="K8" s="10">
        <v>118</v>
      </c>
      <c r="L8" s="10">
        <v>150</v>
      </c>
      <c r="M8" s="10">
        <v>184</v>
      </c>
      <c r="N8" s="76">
        <v>200</v>
      </c>
    </row>
    <row r="9" spans="1:14" ht="12.75">
      <c r="A9" s="11" t="s">
        <v>6</v>
      </c>
      <c r="B9" s="1"/>
      <c r="C9" s="1"/>
      <c r="D9" s="1"/>
      <c r="F9" s="1"/>
      <c r="G9" s="1"/>
      <c r="H9" s="1"/>
      <c r="I9" s="1"/>
      <c r="J9" s="1"/>
      <c r="K9" s="12"/>
      <c r="L9" s="12"/>
      <c r="M9" s="12"/>
      <c r="N9" s="12"/>
    </row>
    <row r="10" spans="1:14" ht="14.25">
      <c r="A10" s="1"/>
      <c r="B10" s="1" t="s">
        <v>58</v>
      </c>
      <c r="C10" s="1"/>
      <c r="D10" s="1"/>
      <c r="F10" s="1"/>
      <c r="G10" s="1"/>
      <c r="H10" s="1"/>
      <c r="I10" s="75">
        <v>4</v>
      </c>
      <c r="J10" s="1" t="s">
        <v>7</v>
      </c>
      <c r="K10" s="111">
        <f>+$I$10*K8</f>
        <v>472</v>
      </c>
      <c r="L10" s="111">
        <f>+$I$10*L8</f>
        <v>600</v>
      </c>
      <c r="M10" s="111">
        <f>+$I$10*M8</f>
        <v>736</v>
      </c>
      <c r="N10" s="112">
        <f>+$I$10*N8</f>
        <v>800</v>
      </c>
    </row>
    <row r="11" spans="1:14" ht="14.25">
      <c r="A11" s="1"/>
      <c r="B11" s="1" t="s">
        <v>57</v>
      </c>
      <c r="C11" s="1"/>
      <c r="D11" s="1"/>
      <c r="E11" s="1"/>
      <c r="F11" s="75">
        <v>2</v>
      </c>
      <c r="G11" s="1" t="s">
        <v>80</v>
      </c>
      <c r="H11" s="1"/>
      <c r="I11" s="86">
        <f>IF($F$11-$I10&lt;=0,0,$F$11-$I10)</f>
        <v>0</v>
      </c>
      <c r="J11" s="64" t="s">
        <v>7</v>
      </c>
      <c r="K11" s="111">
        <f>IF(G12&lt;=0,0,G12)</f>
        <v>0</v>
      </c>
      <c r="L11" s="111">
        <f>IF(H12&lt;=0,0,H12)</f>
        <v>0</v>
      </c>
      <c r="M11" s="111">
        <f>IF(I12&lt;=0,0,I12)</f>
        <v>0</v>
      </c>
      <c r="N11" s="112">
        <f>IF(J12&lt;=0,0,J12)</f>
        <v>0</v>
      </c>
    </row>
    <row r="12" spans="1:14" ht="12.75">
      <c r="A12" s="1"/>
      <c r="B12" s="1"/>
      <c r="C12" s="1"/>
      <c r="D12" s="1"/>
      <c r="E12" s="1"/>
      <c r="F12" s="1" t="s">
        <v>50</v>
      </c>
      <c r="G12" s="65">
        <f>$K$8*$I$11</f>
        <v>0</v>
      </c>
      <c r="H12" s="65">
        <f>L8*$I$11</f>
        <v>0</v>
      </c>
      <c r="I12" s="65">
        <f>M8*$I$11</f>
        <v>0</v>
      </c>
      <c r="J12" s="65">
        <f>N8*$I$11</f>
        <v>0</v>
      </c>
      <c r="K12" s="113"/>
      <c r="L12" s="111"/>
      <c r="M12" s="111"/>
      <c r="N12" s="114"/>
    </row>
    <row r="13" spans="1:17" ht="14.25">
      <c r="A13" s="1"/>
      <c r="B13" s="1" t="s">
        <v>107</v>
      </c>
      <c r="C13" s="1"/>
      <c r="D13" s="1"/>
      <c r="E13" s="17">
        <v>96.1</v>
      </c>
      <c r="F13" s="17">
        <v>116.8</v>
      </c>
      <c r="G13" s="17">
        <v>141.6</v>
      </c>
      <c r="H13" s="84">
        <v>141.6</v>
      </c>
      <c r="I13" s="75">
        <v>0.28</v>
      </c>
      <c r="J13" s="17"/>
      <c r="K13" s="111">
        <f>((E13*$I$13*0.85)+(E14*$I$14*0.85))/2</f>
        <v>16.99915</v>
      </c>
      <c r="L13" s="111">
        <f>((F13*$I$13*0.85)+(F14*$I$14*0.85))/2</f>
        <v>20.6312</v>
      </c>
      <c r="M13" s="111">
        <f>((G13*$I$13*0.85)+(G14*$I$14*0.85))/2</f>
        <v>25.078400000000002</v>
      </c>
      <c r="N13" s="112">
        <f>((H13*$I$13*0.85)+(H14*$I$14*0.85))/2</f>
        <v>25.078400000000002</v>
      </c>
      <c r="Q13" s="88"/>
    </row>
    <row r="14" spans="1:17" ht="12.75">
      <c r="A14" s="1"/>
      <c r="B14" s="1"/>
      <c r="C14" s="1"/>
      <c r="D14" s="1"/>
      <c r="E14" s="17">
        <v>29.75</v>
      </c>
      <c r="F14" s="17">
        <v>36</v>
      </c>
      <c r="G14" s="17">
        <v>44</v>
      </c>
      <c r="H14" s="84">
        <v>44</v>
      </c>
      <c r="I14" s="75">
        <v>0.44</v>
      </c>
      <c r="J14" s="17"/>
      <c r="K14" s="111"/>
      <c r="L14" s="111"/>
      <c r="M14" s="111"/>
      <c r="N14" s="135"/>
      <c r="Q14" s="88"/>
    </row>
    <row r="15" spans="1:14" ht="12.75">
      <c r="A15" s="1"/>
      <c r="B15" s="1"/>
      <c r="C15" s="1"/>
      <c r="D15" s="1"/>
      <c r="E15" s="17"/>
      <c r="F15" s="17" t="s">
        <v>51</v>
      </c>
      <c r="G15" s="17"/>
      <c r="H15" s="16"/>
      <c r="I15" s="60"/>
      <c r="J15" s="1"/>
      <c r="K15" s="111"/>
      <c r="L15" s="111"/>
      <c r="M15" s="111"/>
      <c r="N15" s="114"/>
    </row>
    <row r="16" spans="1:14" ht="14.25">
      <c r="A16" s="1"/>
      <c r="B16" s="1" t="s">
        <v>108</v>
      </c>
      <c r="C16" s="1"/>
      <c r="D16" s="1"/>
      <c r="E16" s="17">
        <v>105.6</v>
      </c>
      <c r="F16" s="17">
        <v>136.5</v>
      </c>
      <c r="G16" s="17">
        <v>165.5</v>
      </c>
      <c r="H16" s="77">
        <v>165.5</v>
      </c>
      <c r="I16" s="75">
        <v>0</v>
      </c>
      <c r="J16" s="17"/>
      <c r="K16" s="111">
        <f>E16*$I$16*0.85</f>
        <v>0</v>
      </c>
      <c r="L16" s="111">
        <f>F16*$I$16*0.85</f>
        <v>0</v>
      </c>
      <c r="M16" s="111">
        <f>G16*$I$16*0.85</f>
        <v>0</v>
      </c>
      <c r="N16" s="112">
        <f>H16*$I$16*0.85</f>
        <v>0</v>
      </c>
    </row>
    <row r="17" spans="1:14" ht="12.75">
      <c r="A17" s="1"/>
      <c r="B17" s="1"/>
      <c r="C17" s="1"/>
      <c r="D17" s="1"/>
      <c r="E17" s="17"/>
      <c r="F17" s="17"/>
      <c r="G17" s="17"/>
      <c r="H17" s="17"/>
      <c r="I17" s="13"/>
      <c r="J17" s="17"/>
      <c r="K17" s="111"/>
      <c r="L17" s="111"/>
      <c r="M17" s="111"/>
      <c r="N17" s="114"/>
    </row>
    <row r="18" spans="1:14" ht="12.75">
      <c r="A18" s="11" t="s">
        <v>49</v>
      </c>
      <c r="B18" s="1"/>
      <c r="C18" s="1"/>
      <c r="D18" s="1"/>
      <c r="E18" s="1"/>
      <c r="F18" s="1"/>
      <c r="G18" s="1"/>
      <c r="H18" s="1"/>
      <c r="I18" s="13"/>
      <c r="J18" s="1"/>
      <c r="K18" s="111">
        <f>SUM(K10:K16)</f>
        <v>488.99915</v>
      </c>
      <c r="L18" s="111">
        <f>SUM(L10:L16)</f>
        <v>620.6312</v>
      </c>
      <c r="M18" s="111">
        <f>SUM(M10:M16)</f>
        <v>761.0784</v>
      </c>
      <c r="N18" s="112">
        <f>SUM(N10:N16)</f>
        <v>825.0784</v>
      </c>
    </row>
    <row r="19" spans="1:14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2"/>
      <c r="N19" s="62"/>
    </row>
    <row r="20" spans="1:14" ht="12.75">
      <c r="A20" s="11" t="s">
        <v>8</v>
      </c>
      <c r="B20" s="1"/>
      <c r="C20" s="1"/>
      <c r="D20" s="1"/>
      <c r="E20" s="1"/>
      <c r="F20" s="1"/>
      <c r="G20" s="1"/>
      <c r="H20" s="1"/>
      <c r="I20" s="1"/>
      <c r="J20" s="13"/>
      <c r="K20" s="12"/>
      <c r="L20" s="12"/>
      <c r="M20" s="12"/>
      <c r="N20" s="62"/>
    </row>
    <row r="21" spans="1:14" ht="14.25">
      <c r="A21" s="1"/>
      <c r="B21" s="1" t="s">
        <v>109</v>
      </c>
      <c r="C21" s="1"/>
      <c r="D21" s="1"/>
      <c r="E21" s="1">
        <v>28000</v>
      </c>
      <c r="F21" s="1">
        <v>32000</v>
      </c>
      <c r="G21" s="1">
        <v>34000</v>
      </c>
      <c r="H21" s="78">
        <v>34000</v>
      </c>
      <c r="I21" s="75">
        <f>I22/80</f>
        <v>2.5</v>
      </c>
      <c r="J21" s="1" t="s">
        <v>69</v>
      </c>
      <c r="K21" s="3">
        <f>+$I$21*E21/1000</f>
        <v>70</v>
      </c>
      <c r="L21" s="3">
        <f>+$I$21*F21/1000</f>
        <v>80</v>
      </c>
      <c r="M21" s="3">
        <f>+$I$21*G21/1000</f>
        <v>85</v>
      </c>
      <c r="N21" s="87">
        <f>+$I$21*H21/1000</f>
        <v>85</v>
      </c>
    </row>
    <row r="22" spans="1:14" ht="12.75">
      <c r="A22" s="1"/>
      <c r="B22" s="1"/>
      <c r="C22" s="1"/>
      <c r="D22" s="1"/>
      <c r="E22" s="1" t="s">
        <v>115</v>
      </c>
      <c r="F22" s="1"/>
      <c r="G22" s="1"/>
      <c r="H22" s="127"/>
      <c r="I22" s="75">
        <v>200</v>
      </c>
      <c r="J22" s="64" t="s">
        <v>116</v>
      </c>
      <c r="K22" s="3"/>
      <c r="L22" s="3"/>
      <c r="M22" s="3"/>
      <c r="N22" s="126"/>
    </row>
    <row r="23" spans="1:14" ht="14.25">
      <c r="A23" s="1"/>
      <c r="B23" s="1" t="s">
        <v>41</v>
      </c>
      <c r="C23" s="1"/>
      <c r="D23" s="1"/>
      <c r="E23" s="1"/>
      <c r="F23" s="1"/>
      <c r="G23" s="1"/>
      <c r="H23" s="81"/>
      <c r="I23" s="82"/>
      <c r="J23" s="14"/>
      <c r="K23" s="3"/>
      <c r="L23" s="3"/>
      <c r="M23" s="3"/>
      <c r="N23" s="61"/>
    </row>
    <row r="24" spans="1:14" ht="12.75">
      <c r="A24" s="1"/>
      <c r="B24" s="1"/>
      <c r="C24" s="1" t="s">
        <v>9</v>
      </c>
      <c r="D24" s="1"/>
      <c r="E24" s="53">
        <v>128</v>
      </c>
      <c r="F24" s="53">
        <v>146</v>
      </c>
      <c r="G24" s="53">
        <v>165</v>
      </c>
      <c r="H24" s="79">
        <v>165</v>
      </c>
      <c r="I24" s="133">
        <f>F83/560</f>
        <v>0.7142857142857143</v>
      </c>
      <c r="J24" s="1" t="s">
        <v>10</v>
      </c>
      <c r="K24" s="3">
        <f>($I$24*E24)+7</f>
        <v>98.42857142857143</v>
      </c>
      <c r="L24" s="3">
        <f>($I$24*F24)+7</f>
        <v>111.28571428571429</v>
      </c>
      <c r="M24" s="3">
        <f>($I$24*G24)+7</f>
        <v>124.85714285714286</v>
      </c>
      <c r="N24" s="87">
        <f>($I$24*H24)+7</f>
        <v>124.85714285714286</v>
      </c>
    </row>
    <row r="25" spans="1:14" ht="15.75">
      <c r="A25" s="1"/>
      <c r="B25" s="1"/>
      <c r="C25" s="1" t="s">
        <v>42</v>
      </c>
      <c r="D25" s="1"/>
      <c r="E25" s="53">
        <f>K8*0.37</f>
        <v>43.66</v>
      </c>
      <c r="F25" s="53">
        <f>L8*0.37</f>
        <v>55.5</v>
      </c>
      <c r="G25" s="53">
        <f>M8*0.37</f>
        <v>68.08</v>
      </c>
      <c r="H25" s="121">
        <f>N8*0.37</f>
        <v>74</v>
      </c>
      <c r="I25" s="134">
        <f>I83/1040</f>
        <v>0.7692307692307693</v>
      </c>
      <c r="J25" s="1" t="s">
        <v>10</v>
      </c>
      <c r="K25" s="3">
        <f>+$I$25*E25</f>
        <v>33.58461538461538</v>
      </c>
      <c r="L25" s="3">
        <f>+$I$25*F25</f>
        <v>42.69230769230769</v>
      </c>
      <c r="M25" s="3">
        <f>+$I$25*G25</f>
        <v>52.36923076923077</v>
      </c>
      <c r="N25" s="87">
        <f>+$I$25*H25</f>
        <v>56.92307692307693</v>
      </c>
    </row>
    <row r="26" spans="1:18" ht="15.75">
      <c r="A26" s="1"/>
      <c r="B26" s="1"/>
      <c r="C26" s="1" t="s">
        <v>43</v>
      </c>
      <c r="D26" s="1"/>
      <c r="E26" s="53">
        <f>(K8*0.27)</f>
        <v>31.860000000000003</v>
      </c>
      <c r="F26" s="53">
        <f>(L8*0.27)</f>
        <v>40.5</v>
      </c>
      <c r="G26" s="53">
        <f>(M8*0.27)</f>
        <v>49.68000000000001</v>
      </c>
      <c r="H26" s="79">
        <f>(N8*0.27)</f>
        <v>54</v>
      </c>
      <c r="I26" s="134">
        <f>M83/1200</f>
        <v>0.7166666666666667</v>
      </c>
      <c r="J26" s="1" t="s">
        <v>10</v>
      </c>
      <c r="K26" s="3">
        <f>+$I$26*E26</f>
        <v>22.833000000000002</v>
      </c>
      <c r="L26" s="3">
        <f>+$I$26*F26</f>
        <v>29.025</v>
      </c>
      <c r="M26" s="3">
        <f>+$I$26*G26</f>
        <v>35.604000000000006</v>
      </c>
      <c r="N26" s="87">
        <f>+$I$26*H26</f>
        <v>38.7</v>
      </c>
      <c r="O26" s="18"/>
      <c r="P26" s="18"/>
      <c r="Q26" s="18"/>
      <c r="R26" s="18"/>
    </row>
    <row r="27" spans="1:14" ht="12.75">
      <c r="A27" s="1"/>
      <c r="B27" s="1"/>
      <c r="C27" s="1" t="s">
        <v>11</v>
      </c>
      <c r="D27" s="1"/>
      <c r="E27" s="1"/>
      <c r="F27" s="1">
        <v>0.25</v>
      </c>
      <c r="G27" s="1"/>
      <c r="H27" s="80">
        <v>0.25</v>
      </c>
      <c r="I27" s="78">
        <v>25</v>
      </c>
      <c r="J27" s="1" t="s">
        <v>12</v>
      </c>
      <c r="K27" s="3">
        <f>+F27*I27</f>
        <v>6.25</v>
      </c>
      <c r="L27" s="3">
        <f>+F27*I27</f>
        <v>6.25</v>
      </c>
      <c r="M27" s="3">
        <f>+F27*I27</f>
        <v>6.25</v>
      </c>
      <c r="N27" s="87">
        <f>+H27*I27</f>
        <v>6.25</v>
      </c>
    </row>
    <row r="28" spans="1:14" ht="14.25">
      <c r="A28" s="1"/>
      <c r="B28" s="1" t="s">
        <v>44</v>
      </c>
      <c r="C28" s="1"/>
      <c r="D28" s="1" t="s">
        <v>112</v>
      </c>
      <c r="E28" s="1"/>
      <c r="F28" s="1"/>
      <c r="G28" s="1"/>
      <c r="H28" s="1"/>
      <c r="I28" s="1"/>
      <c r="J28" s="1"/>
      <c r="K28" s="3">
        <v>54</v>
      </c>
      <c r="L28" s="3">
        <v>54</v>
      </c>
      <c r="M28" s="3">
        <v>54</v>
      </c>
      <c r="N28" s="89">
        <v>54</v>
      </c>
    </row>
    <row r="29" spans="1:14" ht="12.75">
      <c r="A29" s="1"/>
      <c r="B29" s="1"/>
      <c r="C29" s="1"/>
      <c r="D29" s="1" t="s">
        <v>113</v>
      </c>
      <c r="E29" s="1"/>
      <c r="F29" s="1"/>
      <c r="G29" s="1"/>
      <c r="H29" s="1"/>
      <c r="I29" s="1"/>
      <c r="J29" s="1"/>
      <c r="K29" s="3">
        <v>0</v>
      </c>
      <c r="L29" s="3">
        <v>0</v>
      </c>
      <c r="M29" s="3">
        <v>0</v>
      </c>
      <c r="N29" s="89">
        <v>0</v>
      </c>
    </row>
    <row r="30" spans="1:14" ht="12.75">
      <c r="A30" s="1"/>
      <c r="B30" s="1"/>
      <c r="C30" s="1"/>
      <c r="D30" s="1" t="s">
        <v>114</v>
      </c>
      <c r="E30" s="1"/>
      <c r="F30" s="1"/>
      <c r="G30" s="1"/>
      <c r="H30" s="1"/>
      <c r="I30" s="1"/>
      <c r="J30" s="1"/>
      <c r="K30" s="3">
        <v>0</v>
      </c>
      <c r="L30" s="3">
        <v>0</v>
      </c>
      <c r="M30" s="3">
        <v>0</v>
      </c>
      <c r="N30" s="89">
        <v>0</v>
      </c>
    </row>
    <row r="31" spans="1:14" ht="14.25">
      <c r="A31" s="1"/>
      <c r="B31" s="1" t="s">
        <v>45</v>
      </c>
      <c r="C31" s="1"/>
      <c r="D31" s="1"/>
      <c r="E31" s="1"/>
      <c r="F31" s="75">
        <v>2</v>
      </c>
      <c r="G31" s="1" t="s">
        <v>77</v>
      </c>
      <c r="H31" s="1"/>
      <c r="I31" s="120">
        <f>(2.5*0.02*F31)+0.01</f>
        <v>0.11</v>
      </c>
      <c r="J31" s="1" t="s">
        <v>7</v>
      </c>
      <c r="K31" s="3">
        <f>+$I$31*K8</f>
        <v>12.98</v>
      </c>
      <c r="L31" s="3">
        <f>+$I$31*L8</f>
        <v>16.5</v>
      </c>
      <c r="M31" s="3">
        <f>+$I$31*M8</f>
        <v>20.24</v>
      </c>
      <c r="N31" s="87">
        <f>+$I$31*N8</f>
        <v>22</v>
      </c>
    </row>
    <row r="32" spans="1:14" ht="14.25">
      <c r="A32" s="1"/>
      <c r="B32" s="1" t="s">
        <v>88</v>
      </c>
      <c r="C32" s="1"/>
      <c r="D32" s="1"/>
      <c r="E32" s="1"/>
      <c r="F32" s="60"/>
      <c r="G32" s="1"/>
      <c r="H32" s="1"/>
      <c r="I32" s="75">
        <v>0.15</v>
      </c>
      <c r="J32" s="1" t="s">
        <v>7</v>
      </c>
      <c r="K32" s="3">
        <f>+$I$32*K8</f>
        <v>17.7</v>
      </c>
      <c r="L32" s="3">
        <f>+$I$32*L8</f>
        <v>22.5</v>
      </c>
      <c r="M32" s="3">
        <f>+$I$32*M8</f>
        <v>27.599999999999998</v>
      </c>
      <c r="N32" s="87">
        <f>+$I$32*N8</f>
        <v>30</v>
      </c>
    </row>
    <row r="33" spans="1:14" ht="14.25">
      <c r="A33" s="1"/>
      <c r="B33" s="1" t="s">
        <v>89</v>
      </c>
      <c r="C33" s="1"/>
      <c r="D33" s="1"/>
      <c r="E33" s="1"/>
      <c r="F33" s="1"/>
      <c r="G33" s="1"/>
      <c r="H33" s="1"/>
      <c r="I33" s="1"/>
      <c r="J33" s="1"/>
      <c r="K33" s="3">
        <f>+$K$117</f>
        <v>9.685500000000001</v>
      </c>
      <c r="L33" s="3">
        <f>+$K$117</f>
        <v>9.685500000000001</v>
      </c>
      <c r="M33" s="3">
        <f>+$K$117</f>
        <v>9.685500000000001</v>
      </c>
      <c r="N33" s="87">
        <f>+$K$117</f>
        <v>9.685500000000001</v>
      </c>
    </row>
    <row r="34" spans="1:14" ht="14.25">
      <c r="A34" s="1"/>
      <c r="B34" s="1" t="s">
        <v>90</v>
      </c>
      <c r="C34" s="1"/>
      <c r="D34" s="1"/>
      <c r="E34" s="1"/>
      <c r="F34" s="1"/>
      <c r="G34" s="1"/>
      <c r="H34" s="1"/>
      <c r="I34" s="1"/>
      <c r="J34" s="1"/>
      <c r="K34" s="3">
        <f>+$M$117</f>
        <v>9.593306669251584</v>
      </c>
      <c r="L34" s="3">
        <f>+$M$117</f>
        <v>9.593306669251584</v>
      </c>
      <c r="M34" s="3">
        <f>+$M$117</f>
        <v>9.593306669251584</v>
      </c>
      <c r="N34" s="87">
        <f>+$M$117</f>
        <v>9.593306669251584</v>
      </c>
    </row>
    <row r="35" spans="1:14" ht="14.25">
      <c r="A35" s="1"/>
      <c r="B35" s="1" t="s">
        <v>91</v>
      </c>
      <c r="C35" s="1"/>
      <c r="D35" s="1"/>
      <c r="E35" s="1"/>
      <c r="F35" s="1"/>
      <c r="G35" s="1"/>
      <c r="H35" s="1"/>
      <c r="I35" s="1"/>
      <c r="J35" s="1"/>
      <c r="K35" s="3">
        <v>21.6</v>
      </c>
      <c r="L35" s="3">
        <v>21.6</v>
      </c>
      <c r="M35" s="3">
        <v>24.5</v>
      </c>
      <c r="N35" s="89">
        <v>27</v>
      </c>
    </row>
    <row r="36" spans="1:14" ht="14.25">
      <c r="A36" s="1"/>
      <c r="B36" s="1" t="s">
        <v>83</v>
      </c>
      <c r="C36" s="1"/>
      <c r="D36" s="1"/>
      <c r="E36" s="1"/>
      <c r="F36" s="1"/>
      <c r="G36" s="1"/>
      <c r="H36" s="1"/>
      <c r="I36" s="1"/>
      <c r="J36" s="1"/>
      <c r="K36" s="3">
        <v>7</v>
      </c>
      <c r="L36" s="3">
        <v>8</v>
      </c>
      <c r="M36" s="3">
        <v>9</v>
      </c>
      <c r="N36" s="89">
        <v>9</v>
      </c>
    </row>
    <row r="37" spans="1:14" ht="14.25">
      <c r="A37" s="1"/>
      <c r="B37" s="1" t="s">
        <v>84</v>
      </c>
      <c r="C37" s="1"/>
      <c r="D37" s="1"/>
      <c r="E37" s="1"/>
      <c r="F37" s="77">
        <v>7</v>
      </c>
      <c r="G37" s="1" t="s">
        <v>13</v>
      </c>
      <c r="H37" s="1"/>
      <c r="I37" s="83">
        <v>0.09</v>
      </c>
      <c r="J37" s="1"/>
      <c r="K37" s="3">
        <f>(SUM(K21:K36)-K31-K32)*$I$37*($F$37/12)</f>
        <v>17.481187157828018</v>
      </c>
      <c r="L37" s="3">
        <f>(SUM(L21:L36)-L31-L32)*$I$37*($F$37/12)</f>
        <v>19.536921003981863</v>
      </c>
      <c r="M37" s="3">
        <f>(SUM(M21:M36)-M31-M32)*$I$37*($F$37/12)</f>
        <v>21.570106965520324</v>
      </c>
      <c r="N37" s="87">
        <f>(SUM(N21:N36)-N31-N32)*$I$37*($F$37/12)</f>
        <v>22.102973888597248</v>
      </c>
    </row>
    <row r="38" spans="1:14" ht="14.25">
      <c r="A38" s="1"/>
      <c r="B38" s="1" t="s">
        <v>85</v>
      </c>
      <c r="C38" s="1"/>
      <c r="D38" s="1"/>
      <c r="E38" s="1"/>
      <c r="F38" s="1"/>
      <c r="G38" s="1"/>
      <c r="H38" s="1"/>
      <c r="I38" s="1"/>
      <c r="J38" s="1"/>
      <c r="K38" s="55">
        <v>0</v>
      </c>
      <c r="L38" s="55">
        <v>0</v>
      </c>
      <c r="M38" s="55">
        <v>0</v>
      </c>
      <c r="N38" s="90">
        <v>0</v>
      </c>
    </row>
    <row r="39" spans="1:14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56"/>
      <c r="L39" s="56"/>
      <c r="M39" s="56"/>
      <c r="N39" s="63"/>
    </row>
    <row r="40" spans="1:14" ht="12.75">
      <c r="A40" s="11" t="s">
        <v>14</v>
      </c>
      <c r="B40" s="1"/>
      <c r="C40" s="1"/>
      <c r="D40" s="1"/>
      <c r="E40" s="1"/>
      <c r="G40" s="72" t="s">
        <v>15</v>
      </c>
      <c r="H40" s="72"/>
      <c r="I40" s="1"/>
      <c r="J40" s="1"/>
      <c r="K40" s="3">
        <f>SUM(K21:K39)</f>
        <v>381.13618064026645</v>
      </c>
      <c r="L40" s="3">
        <f>SUM(L21:L39)</f>
        <v>430.66874965125544</v>
      </c>
      <c r="M40" s="3">
        <f>SUM(M21:M39)</f>
        <v>480.26928726114556</v>
      </c>
      <c r="N40" s="87">
        <f>SUM(N21:N39)</f>
        <v>495.11200033806864</v>
      </c>
    </row>
    <row r="41" spans="1:14" ht="12.75">
      <c r="A41" s="1"/>
      <c r="B41" s="1"/>
      <c r="C41" s="1"/>
      <c r="D41" s="1"/>
      <c r="E41" s="1"/>
      <c r="G41" s="72" t="s">
        <v>16</v>
      </c>
      <c r="H41" s="72"/>
      <c r="I41" s="1"/>
      <c r="J41" s="1"/>
      <c r="K41" s="3">
        <f>+K40/K8</f>
        <v>3.2299676325446307</v>
      </c>
      <c r="L41" s="3">
        <f>+L40/L8</f>
        <v>2.8711249976750364</v>
      </c>
      <c r="M41" s="3">
        <f>+M40/M8</f>
        <v>2.61015916989753</v>
      </c>
      <c r="N41" s="87">
        <f>+N40/N8</f>
        <v>2.475560001690343</v>
      </c>
    </row>
    <row r="42" spans="1:14" ht="3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2"/>
      <c r="L42" s="12"/>
      <c r="M42" s="12"/>
      <c r="N42" s="62"/>
    </row>
    <row r="43" spans="1:14" ht="12.75">
      <c r="A43" s="11" t="s">
        <v>17</v>
      </c>
      <c r="B43" s="1"/>
      <c r="C43" s="1"/>
      <c r="D43" s="1"/>
      <c r="E43" s="1"/>
      <c r="F43" s="1"/>
      <c r="G43" s="1"/>
      <c r="H43" s="1"/>
      <c r="I43" s="1"/>
      <c r="J43" s="1"/>
      <c r="K43" s="12"/>
      <c r="L43" s="12"/>
      <c r="M43" s="12"/>
      <c r="N43" s="62"/>
    </row>
    <row r="44" spans="1:14" ht="14.25">
      <c r="A44" s="1"/>
      <c r="B44" s="1" t="s">
        <v>86</v>
      </c>
      <c r="C44" s="1"/>
      <c r="D44" s="1"/>
      <c r="E44" s="1"/>
      <c r="F44" s="84">
        <v>3</v>
      </c>
      <c r="G44" s="1" t="s">
        <v>18</v>
      </c>
      <c r="H44" s="1"/>
      <c r="I44" s="80">
        <v>13.5</v>
      </c>
      <c r="J44" s="1" t="s">
        <v>19</v>
      </c>
      <c r="K44" s="111">
        <f>+$F$44*$I$44</f>
        <v>40.5</v>
      </c>
      <c r="L44" s="111">
        <f>+$F$44*$I$44</f>
        <v>40.5</v>
      </c>
      <c r="M44" s="111">
        <f>+$F$44*$I$44</f>
        <v>40.5</v>
      </c>
      <c r="N44" s="112">
        <f>+$F$44*$I$44</f>
        <v>40.5</v>
      </c>
    </row>
    <row r="45" spans="1:14" ht="14.25">
      <c r="A45" s="1"/>
      <c r="B45" s="1" t="s">
        <v>87</v>
      </c>
      <c r="C45" s="1"/>
      <c r="D45" s="1"/>
      <c r="E45" s="1"/>
      <c r="F45" s="17"/>
      <c r="G45" s="1"/>
      <c r="H45" s="1"/>
      <c r="I45" s="1"/>
      <c r="J45" s="1"/>
      <c r="K45" s="111">
        <f>$I$117</f>
        <v>51.58861145833333</v>
      </c>
      <c r="L45" s="111">
        <f>$I$117</f>
        <v>51.58861145833333</v>
      </c>
      <c r="M45" s="111">
        <f>$I$117</f>
        <v>51.58861145833333</v>
      </c>
      <c r="N45" s="112">
        <f>$I$117</f>
        <v>51.58861145833333</v>
      </c>
    </row>
    <row r="46" spans="1:14" ht="14.25">
      <c r="A46" s="1"/>
      <c r="B46" s="1" t="s">
        <v>92</v>
      </c>
      <c r="C46" s="1"/>
      <c r="D46" s="1"/>
      <c r="E46" s="1"/>
      <c r="F46" s="17" t="s">
        <v>20</v>
      </c>
      <c r="G46" s="1"/>
      <c r="H46" s="1"/>
      <c r="I46" s="1"/>
      <c r="J46" s="1"/>
      <c r="K46" s="111">
        <v>100</v>
      </c>
      <c r="L46" s="111">
        <v>130</v>
      </c>
      <c r="M46" s="111">
        <v>165</v>
      </c>
      <c r="N46" s="115">
        <v>200</v>
      </c>
    </row>
    <row r="47" spans="1:14" ht="14.25">
      <c r="A47" s="1"/>
      <c r="B47" s="1" t="s">
        <v>93</v>
      </c>
      <c r="C47" s="1"/>
      <c r="D47" s="1"/>
      <c r="E47" s="1"/>
      <c r="F47" s="85">
        <v>0.05</v>
      </c>
      <c r="G47" s="1" t="s">
        <v>21</v>
      </c>
      <c r="H47" s="1"/>
      <c r="I47" s="1"/>
      <c r="J47" s="1"/>
      <c r="K47" s="116">
        <f>$F$47*K18</f>
        <v>24.4499575</v>
      </c>
      <c r="L47" s="116">
        <f>$F$47*L18</f>
        <v>31.031560000000002</v>
      </c>
      <c r="M47" s="116">
        <f>$F$47*M18</f>
        <v>38.05392</v>
      </c>
      <c r="N47" s="117">
        <f>$F$47*N18</f>
        <v>41.25392</v>
      </c>
    </row>
    <row r="48" spans="1:14" ht="5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18"/>
      <c r="L48" s="118"/>
      <c r="M48" s="118"/>
      <c r="N48" s="119"/>
    </row>
    <row r="49" spans="1:14" ht="12.75">
      <c r="A49" s="11" t="s">
        <v>22</v>
      </c>
      <c r="B49" s="1"/>
      <c r="C49" s="1"/>
      <c r="D49" s="1"/>
      <c r="E49" s="1"/>
      <c r="F49" s="1"/>
      <c r="G49" s="1"/>
      <c r="H49" s="1"/>
      <c r="I49" s="1"/>
      <c r="J49" s="1"/>
      <c r="K49" s="111">
        <f>SUM(K44:K48)</f>
        <v>216.53856895833334</v>
      </c>
      <c r="L49" s="111">
        <f>SUM(L44:L48)</f>
        <v>253.12017145833335</v>
      </c>
      <c r="M49" s="111">
        <f>SUM(M44:M48)</f>
        <v>295.14253145833334</v>
      </c>
      <c r="N49" s="112">
        <f>SUM(N44:N48)</f>
        <v>333.3425314583333</v>
      </c>
    </row>
    <row r="50" spans="1:14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11"/>
      <c r="L50" s="111"/>
      <c r="M50" s="111"/>
      <c r="N50" s="114"/>
    </row>
    <row r="51" spans="1:14" ht="12.75">
      <c r="A51" s="11" t="s">
        <v>23</v>
      </c>
      <c r="B51" s="1"/>
      <c r="C51" s="1"/>
      <c r="D51" s="1"/>
      <c r="E51" s="1"/>
      <c r="F51" s="1"/>
      <c r="G51" s="72" t="s">
        <v>15</v>
      </c>
      <c r="H51" s="72"/>
      <c r="I51" s="1"/>
      <c r="J51" s="1"/>
      <c r="K51" s="111">
        <f>+K40+K49</f>
        <v>597.6747495985998</v>
      </c>
      <c r="L51" s="111">
        <f>+L40+L49</f>
        <v>683.7889211095887</v>
      </c>
      <c r="M51" s="111">
        <f>+M40+M49</f>
        <v>775.4118187194789</v>
      </c>
      <c r="N51" s="112">
        <f>+N40+N49</f>
        <v>828.454531796402</v>
      </c>
    </row>
    <row r="52" spans="1:14" ht="12.75">
      <c r="A52" s="11"/>
      <c r="B52" s="1"/>
      <c r="C52" s="1"/>
      <c r="D52" s="1"/>
      <c r="E52" s="1"/>
      <c r="F52" s="1"/>
      <c r="G52" s="72" t="s">
        <v>16</v>
      </c>
      <c r="H52" s="72"/>
      <c r="I52" s="1"/>
      <c r="J52" s="1"/>
      <c r="K52" s="111">
        <f>+K51/K8</f>
        <v>5.065040250835591</v>
      </c>
      <c r="L52" s="111">
        <f>+L51/L8</f>
        <v>4.558592807397258</v>
      </c>
      <c r="M52" s="111">
        <f>+M51/M8</f>
        <v>4.21419466695369</v>
      </c>
      <c r="N52" s="112">
        <f>+N51/N8</f>
        <v>4.14227265898201</v>
      </c>
    </row>
    <row r="53" spans="1:14" ht="5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11"/>
      <c r="L53" s="111"/>
      <c r="M53" s="111"/>
      <c r="N53" s="114"/>
    </row>
    <row r="54" spans="1:14" ht="12.75">
      <c r="A54" s="11" t="s">
        <v>24</v>
      </c>
      <c r="B54" s="1"/>
      <c r="C54" s="1"/>
      <c r="D54" s="1"/>
      <c r="E54" s="1"/>
      <c r="F54" s="1"/>
      <c r="G54" s="1"/>
      <c r="H54" s="1"/>
      <c r="I54" s="1"/>
      <c r="J54" s="1"/>
      <c r="K54" s="111">
        <f>+K18-K40</f>
        <v>107.86296935973354</v>
      </c>
      <c r="L54" s="111">
        <f>+L18-L40</f>
        <v>189.9624503487446</v>
      </c>
      <c r="M54" s="111">
        <f>+M18-M40</f>
        <v>280.8091127388544</v>
      </c>
      <c r="N54" s="112">
        <f>+N18-N40</f>
        <v>329.96639966193135</v>
      </c>
    </row>
    <row r="55" spans="1:14" ht="12.75">
      <c r="A55" s="11" t="s">
        <v>25</v>
      </c>
      <c r="B55" s="1"/>
      <c r="C55" s="1"/>
      <c r="D55" s="1"/>
      <c r="E55" s="1"/>
      <c r="F55" s="1"/>
      <c r="G55" s="1"/>
      <c r="H55" s="1"/>
      <c r="I55" s="1"/>
      <c r="J55" s="1"/>
      <c r="K55" s="111">
        <f>+K18-K51</f>
        <v>-108.67559959859977</v>
      </c>
      <c r="L55" s="111">
        <f>+L18-L51</f>
        <v>-63.15772110958869</v>
      </c>
      <c r="M55" s="111">
        <f>+M18-M51</f>
        <v>-14.333418719478914</v>
      </c>
      <c r="N55" s="112">
        <f>+N18-N51</f>
        <v>-3.376131796401978</v>
      </c>
    </row>
    <row r="56" spans="1:14" ht="14.25">
      <c r="A56" s="11" t="s">
        <v>94</v>
      </c>
      <c r="B56" s="1"/>
      <c r="C56" s="1"/>
      <c r="D56" s="1"/>
      <c r="E56" s="1"/>
      <c r="F56" s="1"/>
      <c r="G56" s="1"/>
      <c r="H56" s="1"/>
      <c r="I56" s="1"/>
      <c r="J56" s="1"/>
      <c r="K56" s="111">
        <f>+K55+K44+K47</f>
        <v>-43.72564209859978</v>
      </c>
      <c r="L56" s="111">
        <f>+L55+L44+L47</f>
        <v>8.37383889041131</v>
      </c>
      <c r="M56" s="111">
        <f>+M55+M44+M47</f>
        <v>64.22050128052109</v>
      </c>
      <c r="N56" s="112">
        <f>+N55+N44+N47</f>
        <v>78.37778820359802</v>
      </c>
    </row>
    <row r="57" spans="1:15" ht="14.25" customHeight="1">
      <c r="A57" s="11" t="s">
        <v>123</v>
      </c>
      <c r="B57" s="1"/>
      <c r="C57" s="1"/>
      <c r="D57" s="1"/>
      <c r="E57" s="1"/>
      <c r="F57" s="1"/>
      <c r="G57" s="1"/>
      <c r="H57" s="1"/>
      <c r="I57" s="1"/>
      <c r="J57" s="1"/>
      <c r="K57" s="3">
        <f>K55+K46</f>
        <v>-8.675599598599774</v>
      </c>
      <c r="L57" s="3">
        <f>L55+L46</f>
        <v>66.84227889041131</v>
      </c>
      <c r="M57" s="3">
        <f>M55+M46</f>
        <v>150.6665812805211</v>
      </c>
      <c r="N57" s="87">
        <f>N55+N46</f>
        <v>196.62386820359802</v>
      </c>
      <c r="O57" s="128"/>
    </row>
    <row r="58" spans="1:15" ht="6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5"/>
      <c r="M58" s="5"/>
      <c r="N58" s="5"/>
      <c r="O58" s="6"/>
    </row>
    <row r="59" spans="1:15" ht="6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8"/>
      <c r="M59" s="8"/>
      <c r="N59" s="8"/>
      <c r="O59" s="6"/>
    </row>
    <row r="60" spans="1:15" ht="12.75">
      <c r="A60" s="20" t="s">
        <v>96</v>
      </c>
      <c r="B60" s="20"/>
      <c r="C60" s="20"/>
      <c r="D60" s="74"/>
      <c r="E60" s="20"/>
      <c r="F60" s="20"/>
      <c r="G60" s="20"/>
      <c r="H60" s="20"/>
      <c r="I60" s="20"/>
      <c r="J60" s="20"/>
      <c r="K60" s="20"/>
      <c r="L60" s="21"/>
      <c r="M60" s="21"/>
      <c r="N60" s="21"/>
      <c r="O60" s="1"/>
    </row>
    <row r="61" spans="2:15" ht="12.75">
      <c r="B61" s="20" t="s">
        <v>97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1"/>
    </row>
    <row r="62" spans="1:15" ht="12.75">
      <c r="A62" s="20" t="s">
        <v>98</v>
      </c>
      <c r="B62" s="20"/>
      <c r="C62" s="20"/>
      <c r="D62" s="73"/>
      <c r="E62" s="40"/>
      <c r="F62" s="20"/>
      <c r="G62" s="20"/>
      <c r="H62" s="20"/>
      <c r="I62" s="20"/>
      <c r="J62" s="20"/>
      <c r="K62" s="20"/>
      <c r="L62" s="21"/>
      <c r="M62" s="21"/>
      <c r="N62" s="21"/>
      <c r="O62" s="1"/>
    </row>
    <row r="63" spans="1:15" ht="12.75">
      <c r="A63" s="20"/>
      <c r="B63" s="20" t="s">
        <v>100</v>
      </c>
      <c r="C63" s="20"/>
      <c r="D63" s="40"/>
      <c r="E63" s="40"/>
      <c r="F63" s="20"/>
      <c r="G63" s="20"/>
      <c r="H63" s="20"/>
      <c r="I63" s="20"/>
      <c r="J63" s="20"/>
      <c r="K63" s="20"/>
      <c r="L63" s="21"/>
      <c r="M63" s="21"/>
      <c r="N63" s="21"/>
      <c r="O63" s="1"/>
    </row>
    <row r="64" spans="1:15" ht="12.75">
      <c r="A64" s="20" t="s">
        <v>99</v>
      </c>
      <c r="B64" s="20"/>
      <c r="C64" s="20"/>
      <c r="D64" s="91"/>
      <c r="E64" s="20"/>
      <c r="F64" s="20"/>
      <c r="G64" s="20"/>
      <c r="H64" s="20"/>
      <c r="I64" s="20"/>
      <c r="J64" s="20"/>
      <c r="K64" s="20"/>
      <c r="L64" s="21"/>
      <c r="M64" s="21"/>
      <c r="N64" s="21"/>
      <c r="O64" s="1"/>
    </row>
    <row r="65" spans="1:15" ht="13.5">
      <c r="A65" s="19">
        <v>1</v>
      </c>
      <c r="B65" s="20" t="s">
        <v>178</v>
      </c>
      <c r="C65" s="20"/>
      <c r="D65" s="40"/>
      <c r="E65" s="20"/>
      <c r="F65" s="20"/>
      <c r="G65" s="20"/>
      <c r="H65" s="20"/>
      <c r="I65" s="20"/>
      <c r="J65" s="20"/>
      <c r="K65" s="20"/>
      <c r="L65" s="21"/>
      <c r="M65" s="21"/>
      <c r="N65" s="21"/>
      <c r="O65" s="1"/>
    </row>
    <row r="66" spans="1:15" ht="13.5">
      <c r="A66" s="19"/>
      <c r="B66" s="122" t="s">
        <v>117</v>
      </c>
      <c r="C66" s="123"/>
      <c r="D66" s="124"/>
      <c r="E66" s="123"/>
      <c r="F66" s="123"/>
      <c r="G66" s="123"/>
      <c r="H66" s="123"/>
      <c r="I66" s="123"/>
      <c r="J66" s="123"/>
      <c r="K66" s="123"/>
      <c r="L66" s="125"/>
      <c r="M66" s="21"/>
      <c r="N66" s="21"/>
      <c r="O66" s="1"/>
    </row>
    <row r="67" spans="2:15" ht="12.75">
      <c r="B67" s="20" t="s">
        <v>125</v>
      </c>
      <c r="C67" s="20"/>
      <c r="D67" s="20"/>
      <c r="E67" s="20"/>
      <c r="F67" s="20"/>
      <c r="G67" s="20"/>
      <c r="H67" s="20"/>
      <c r="I67" s="20"/>
      <c r="J67" s="20"/>
      <c r="K67" s="20"/>
      <c r="L67" s="21"/>
      <c r="M67" s="21"/>
      <c r="N67" s="21"/>
      <c r="O67" s="1"/>
    </row>
    <row r="68" spans="1:15" ht="13.5">
      <c r="A68" s="19">
        <v>2</v>
      </c>
      <c r="B68" s="20" t="s">
        <v>53</v>
      </c>
      <c r="C68" s="20"/>
      <c r="D68" s="20"/>
      <c r="E68" s="20"/>
      <c r="F68" s="20"/>
      <c r="G68" s="20"/>
      <c r="H68" s="20"/>
      <c r="I68" s="20"/>
      <c r="J68" s="20"/>
      <c r="K68" s="20"/>
      <c r="L68" s="21"/>
      <c r="M68" s="21"/>
      <c r="N68" s="21"/>
      <c r="O68" s="20"/>
    </row>
    <row r="69" spans="1:15" ht="13.5">
      <c r="A69" s="19">
        <v>2</v>
      </c>
      <c r="B69" s="20" t="s">
        <v>104</v>
      </c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1"/>
      <c r="N69" s="21"/>
      <c r="O69" s="20"/>
    </row>
    <row r="70" spans="1:15" ht="13.5">
      <c r="A70" s="19"/>
      <c r="B70" s="20" t="s">
        <v>110</v>
      </c>
      <c r="C70" s="20"/>
      <c r="D70" s="20"/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0"/>
    </row>
    <row r="71" spans="1:15" ht="13.5">
      <c r="A71" s="19"/>
      <c r="B71" s="20"/>
      <c r="C71" s="20" t="s">
        <v>105</v>
      </c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0"/>
    </row>
    <row r="72" spans="1:15" ht="13.5">
      <c r="A72" s="19"/>
      <c r="B72" s="20"/>
      <c r="C72" s="20" t="s">
        <v>56</v>
      </c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0"/>
    </row>
    <row r="73" spans="1:15" ht="13.5">
      <c r="A73" s="19"/>
      <c r="B73" s="20"/>
      <c r="C73" s="20" t="s">
        <v>133</v>
      </c>
      <c r="D73" s="20"/>
      <c r="E73" s="20"/>
      <c r="F73" s="20"/>
      <c r="G73" s="20"/>
      <c r="H73" s="20"/>
      <c r="I73" s="20"/>
      <c r="J73" s="20"/>
      <c r="K73" s="20"/>
      <c r="L73" s="21"/>
      <c r="M73" s="21"/>
      <c r="N73" s="21"/>
      <c r="O73" s="20"/>
    </row>
    <row r="74" spans="1:15" ht="13.5">
      <c r="A74" s="19">
        <v>2</v>
      </c>
      <c r="B74" s="20" t="s">
        <v>54</v>
      </c>
      <c r="C74" s="20"/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0"/>
    </row>
    <row r="75" spans="1:15" ht="13.5">
      <c r="A75" s="19"/>
      <c r="B75" s="20"/>
      <c r="C75" s="20" t="s">
        <v>55</v>
      </c>
      <c r="D75" s="20"/>
      <c r="E75" s="20"/>
      <c r="F75" s="20"/>
      <c r="G75" s="20"/>
      <c r="H75" s="20"/>
      <c r="I75" s="20"/>
      <c r="J75" s="20"/>
      <c r="K75" s="20"/>
      <c r="L75" s="21"/>
      <c r="M75" s="21"/>
      <c r="N75" s="21"/>
      <c r="O75" s="20"/>
    </row>
    <row r="76" spans="1:15" ht="13.5">
      <c r="A76" s="19"/>
      <c r="B76" s="20"/>
      <c r="C76" s="20" t="s">
        <v>75</v>
      </c>
      <c r="D76" s="20"/>
      <c r="E76" s="20"/>
      <c r="F76" s="20"/>
      <c r="G76" s="20"/>
      <c r="H76" s="20"/>
      <c r="I76" s="20"/>
      <c r="J76" s="20"/>
      <c r="K76" s="20"/>
      <c r="L76" s="21"/>
      <c r="M76" s="21"/>
      <c r="N76" s="21"/>
      <c r="O76" s="20"/>
    </row>
    <row r="77" spans="1:15" ht="13.5">
      <c r="A77" s="19"/>
      <c r="B77" s="20"/>
      <c r="C77" s="20" t="s">
        <v>118</v>
      </c>
      <c r="D77" s="20"/>
      <c r="E77" s="20"/>
      <c r="F77" s="20"/>
      <c r="G77" s="20"/>
      <c r="H77" s="20"/>
      <c r="I77" s="20"/>
      <c r="J77" s="20"/>
      <c r="K77" s="20"/>
      <c r="L77" s="21"/>
      <c r="M77" s="21"/>
      <c r="N77" s="21"/>
      <c r="O77" s="20"/>
    </row>
    <row r="78" spans="1:15" ht="13.5">
      <c r="A78" s="19">
        <v>3</v>
      </c>
      <c r="B78" s="20" t="s">
        <v>132</v>
      </c>
      <c r="C78" s="20"/>
      <c r="D78" s="20"/>
      <c r="E78" s="20"/>
      <c r="F78" s="20"/>
      <c r="G78" s="20"/>
      <c r="H78" s="20"/>
      <c r="I78" s="20"/>
      <c r="J78" s="20"/>
      <c r="K78" s="20"/>
      <c r="L78" s="21"/>
      <c r="M78" s="21"/>
      <c r="N78" s="21"/>
      <c r="O78" s="20"/>
    </row>
    <row r="79" spans="1:15" ht="13.5">
      <c r="A79" s="19"/>
      <c r="B79" s="20"/>
      <c r="C79" s="20" t="s">
        <v>119</v>
      </c>
      <c r="D79" s="20"/>
      <c r="E79" s="20"/>
      <c r="F79" s="20"/>
      <c r="G79" s="20"/>
      <c r="H79" s="20"/>
      <c r="I79" s="20"/>
      <c r="J79" s="20"/>
      <c r="K79" s="20"/>
      <c r="L79" s="21"/>
      <c r="M79" s="21"/>
      <c r="N79" s="21"/>
      <c r="O79" s="20"/>
    </row>
    <row r="80" spans="1:15" ht="13.5">
      <c r="A80" s="19">
        <v>4</v>
      </c>
      <c r="B80" s="20" t="s">
        <v>26</v>
      </c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21"/>
      <c r="N80" s="21"/>
      <c r="O80" s="20"/>
    </row>
    <row r="81" spans="1:15" ht="12.75">
      <c r="A81" s="20"/>
      <c r="B81" s="20"/>
      <c r="C81" s="20" t="s">
        <v>147</v>
      </c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1"/>
      <c r="O81" s="20"/>
    </row>
    <row r="82" spans="1:15" ht="12.75">
      <c r="A82" s="20"/>
      <c r="B82" s="20"/>
      <c r="C82" s="20" t="s">
        <v>131</v>
      </c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1"/>
      <c r="O82" s="20"/>
    </row>
    <row r="83" spans="1:15" ht="12.75">
      <c r="A83" s="20"/>
      <c r="B83" s="20"/>
      <c r="C83" s="20" t="s">
        <v>175</v>
      </c>
      <c r="D83" s="20"/>
      <c r="E83" s="20"/>
      <c r="F83" s="74">
        <v>400</v>
      </c>
      <c r="G83" s="130" t="s">
        <v>129</v>
      </c>
      <c r="H83" s="20"/>
      <c r="I83" s="74">
        <v>800</v>
      </c>
      <c r="J83" s="130" t="s">
        <v>130</v>
      </c>
      <c r="K83" s="130"/>
      <c r="L83" s="21"/>
      <c r="M83" s="132">
        <v>860</v>
      </c>
      <c r="N83" s="131" t="s">
        <v>12</v>
      </c>
      <c r="O83" s="20"/>
    </row>
    <row r="84" spans="1:15" ht="12.75">
      <c r="A84" s="20"/>
      <c r="B84" s="20"/>
      <c r="C84" s="20" t="s">
        <v>134</v>
      </c>
      <c r="D84" s="20"/>
      <c r="E84" s="20"/>
      <c r="F84" s="40"/>
      <c r="G84" s="130"/>
      <c r="H84" s="20"/>
      <c r="I84" s="40"/>
      <c r="J84" s="130"/>
      <c r="K84" s="130"/>
      <c r="L84" s="21"/>
      <c r="M84" s="136"/>
      <c r="N84" s="131"/>
      <c r="O84" s="20"/>
    </row>
    <row r="85" spans="1:15" ht="13.5">
      <c r="A85" s="19">
        <v>5</v>
      </c>
      <c r="B85" s="20" t="s">
        <v>176</v>
      </c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1"/>
      <c r="N85" s="21"/>
      <c r="O85" s="20"/>
    </row>
    <row r="86" spans="1:15" ht="13.5">
      <c r="A86" s="22">
        <v>6</v>
      </c>
      <c r="B86" s="23" t="s">
        <v>126</v>
      </c>
      <c r="C86" s="23"/>
      <c r="D86" s="23"/>
      <c r="E86" s="23"/>
      <c r="F86" s="20"/>
      <c r="G86" s="20"/>
      <c r="H86" s="20"/>
      <c r="I86" s="20"/>
      <c r="J86" s="20"/>
      <c r="K86" s="20"/>
      <c r="L86" s="21"/>
      <c r="M86" s="21"/>
      <c r="N86" s="21"/>
      <c r="O86" s="20"/>
    </row>
    <row r="87" spans="1:15" ht="13.5">
      <c r="A87" s="22"/>
      <c r="B87" s="23"/>
      <c r="C87" s="23" t="s">
        <v>27</v>
      </c>
      <c r="D87" s="23"/>
      <c r="E87" s="23"/>
      <c r="F87" s="20"/>
      <c r="G87" s="20"/>
      <c r="H87" s="20"/>
      <c r="I87" s="20"/>
      <c r="J87" s="20"/>
      <c r="K87" s="20"/>
      <c r="L87" s="21"/>
      <c r="M87" s="21"/>
      <c r="N87" s="21"/>
      <c r="O87" s="20"/>
    </row>
    <row r="88" spans="1:15" ht="13.5">
      <c r="A88" s="66">
        <v>7</v>
      </c>
      <c r="B88" s="23" t="s">
        <v>128</v>
      </c>
      <c r="C88" s="23"/>
      <c r="D88" s="23"/>
      <c r="E88" s="23"/>
      <c r="F88" s="20"/>
      <c r="G88" s="20"/>
      <c r="H88" s="20"/>
      <c r="I88" s="20"/>
      <c r="J88" s="20"/>
      <c r="K88" s="20"/>
      <c r="L88" s="21"/>
      <c r="M88" s="21"/>
      <c r="N88" s="21"/>
      <c r="O88" s="20"/>
    </row>
    <row r="89" spans="1:15" ht="13.5">
      <c r="A89" s="19">
        <v>8</v>
      </c>
      <c r="B89" s="20" t="s">
        <v>76</v>
      </c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1"/>
      <c r="N89" s="21"/>
      <c r="O89" s="20"/>
    </row>
    <row r="90" spans="1:15" ht="13.5">
      <c r="A90" s="19">
        <v>9</v>
      </c>
      <c r="B90" s="20" t="s">
        <v>28</v>
      </c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1"/>
      <c r="O90" s="20"/>
    </row>
    <row r="91" spans="1:15" ht="13.5">
      <c r="A91" s="19">
        <v>10</v>
      </c>
      <c r="B91" s="20" t="s">
        <v>120</v>
      </c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1"/>
      <c r="O91" s="20"/>
    </row>
    <row r="92" spans="1:15" ht="13.5">
      <c r="A92" s="19">
        <v>11</v>
      </c>
      <c r="B92" s="20" t="s">
        <v>127</v>
      </c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1"/>
      <c r="O92" s="20"/>
    </row>
    <row r="93" spans="1:15" ht="13.5">
      <c r="A93" s="19">
        <v>12</v>
      </c>
      <c r="B93" s="20" t="s">
        <v>148</v>
      </c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21"/>
      <c r="N93" s="21"/>
      <c r="O93" s="20"/>
    </row>
    <row r="94" spans="1:15" ht="13.5">
      <c r="A94" s="19">
        <v>13</v>
      </c>
      <c r="B94" s="20" t="s">
        <v>29</v>
      </c>
      <c r="C94" s="20"/>
      <c r="D94" s="20"/>
      <c r="E94" s="20"/>
      <c r="F94" s="20"/>
      <c r="G94" s="20"/>
      <c r="H94" s="20"/>
      <c r="I94" s="20"/>
      <c r="J94" s="20"/>
      <c r="K94" s="20"/>
      <c r="L94" s="21"/>
      <c r="M94" s="21"/>
      <c r="N94" s="21"/>
      <c r="O94" s="20"/>
    </row>
    <row r="95" spans="1:15" ht="12.75">
      <c r="A95" s="20"/>
      <c r="B95" s="20"/>
      <c r="C95" s="20" t="s">
        <v>30</v>
      </c>
      <c r="D95" s="20"/>
      <c r="E95" s="20"/>
      <c r="F95" s="20"/>
      <c r="G95" s="20"/>
      <c r="H95" s="20"/>
      <c r="I95" s="20"/>
      <c r="J95" s="20"/>
      <c r="K95" s="20"/>
      <c r="L95" s="21"/>
      <c r="M95" s="21"/>
      <c r="N95" s="21"/>
      <c r="O95" s="20"/>
    </row>
    <row r="96" spans="1:15" ht="13.5">
      <c r="A96" s="19">
        <v>14</v>
      </c>
      <c r="B96" s="20" t="s">
        <v>121</v>
      </c>
      <c r="C96" s="20"/>
      <c r="D96" s="20"/>
      <c r="E96" s="20"/>
      <c r="F96" s="20"/>
      <c r="G96" s="20"/>
      <c r="H96" s="20"/>
      <c r="I96" s="20"/>
      <c r="J96" s="20"/>
      <c r="K96" s="20"/>
      <c r="L96" s="21"/>
      <c r="M96" s="21"/>
      <c r="N96" s="21"/>
      <c r="O96" s="20"/>
    </row>
    <row r="97" spans="1:15" ht="13.5">
      <c r="A97" s="19"/>
      <c r="B97" s="20"/>
      <c r="C97" s="20" t="s">
        <v>47</v>
      </c>
      <c r="D97" s="20"/>
      <c r="E97" s="20"/>
      <c r="F97" s="20"/>
      <c r="G97" s="20"/>
      <c r="H97" s="20"/>
      <c r="I97" s="20"/>
      <c r="J97" s="20"/>
      <c r="K97" s="20"/>
      <c r="L97" s="21"/>
      <c r="M97" s="21"/>
      <c r="N97" s="21"/>
      <c r="O97" s="20"/>
    </row>
    <row r="98" spans="1:15" ht="13.5">
      <c r="A98" s="19">
        <v>15</v>
      </c>
      <c r="B98" s="20" t="s">
        <v>47</v>
      </c>
      <c r="C98" s="20"/>
      <c r="D98" s="20"/>
      <c r="E98" s="20"/>
      <c r="F98" s="20"/>
      <c r="G98" s="20"/>
      <c r="H98" s="20"/>
      <c r="I98" s="20"/>
      <c r="J98" s="20"/>
      <c r="K98" s="20"/>
      <c r="L98" s="21"/>
      <c r="M98" s="21"/>
      <c r="N98" s="21"/>
      <c r="O98" s="20"/>
    </row>
    <row r="99" spans="1:15" ht="13.5">
      <c r="A99" s="19">
        <v>16</v>
      </c>
      <c r="B99" s="1" t="s">
        <v>149</v>
      </c>
      <c r="C99" s="1"/>
      <c r="D99" s="1"/>
      <c r="E99" s="1"/>
      <c r="F99" s="1"/>
      <c r="G99" s="1"/>
      <c r="H99" s="1"/>
      <c r="I99" s="1"/>
      <c r="J99" s="1"/>
      <c r="K99" s="1"/>
      <c r="L99" s="3"/>
      <c r="M99" s="3"/>
      <c r="N99" s="21"/>
      <c r="O99" s="20"/>
    </row>
    <row r="100" spans="1:15" ht="13.5">
      <c r="A100" s="19"/>
      <c r="B100" s="1"/>
      <c r="C100" s="122" t="s">
        <v>152</v>
      </c>
      <c r="D100" s="1"/>
      <c r="E100" s="1"/>
      <c r="F100" s="1"/>
      <c r="G100" s="1"/>
      <c r="H100" s="1"/>
      <c r="I100" s="1"/>
      <c r="J100" s="1"/>
      <c r="K100" s="1"/>
      <c r="L100" s="3"/>
      <c r="M100" s="3"/>
      <c r="N100" s="21"/>
      <c r="O100" s="20"/>
    </row>
    <row r="101" spans="1:15" ht="13.5">
      <c r="A101" s="19">
        <v>17</v>
      </c>
      <c r="B101" s="20" t="s">
        <v>95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1"/>
      <c r="M101" s="21"/>
      <c r="N101" s="21"/>
      <c r="O101" s="20"/>
    </row>
    <row r="102" spans="1:15" ht="13.5">
      <c r="A102" s="19">
        <v>18</v>
      </c>
      <c r="B102" s="20" t="s">
        <v>31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1"/>
      <c r="M102" s="21"/>
      <c r="N102" s="21"/>
      <c r="O102" s="20"/>
    </row>
    <row r="103" spans="1:15" ht="13.5">
      <c r="A103" s="19"/>
      <c r="B103" s="20"/>
      <c r="C103" s="20" t="s">
        <v>32</v>
      </c>
      <c r="D103" s="20"/>
      <c r="E103" s="20"/>
      <c r="F103" s="20"/>
      <c r="G103" s="20"/>
      <c r="H103" s="20"/>
      <c r="I103" s="20"/>
      <c r="J103" s="20"/>
      <c r="K103" s="20"/>
      <c r="L103" s="21"/>
      <c r="M103" s="21"/>
      <c r="N103" s="21"/>
      <c r="O103" s="20"/>
    </row>
    <row r="104" spans="1:15" ht="12.75">
      <c r="A104" s="24"/>
      <c r="B104" s="24"/>
      <c r="C104" s="102"/>
      <c r="D104" s="24"/>
      <c r="E104" s="24"/>
      <c r="F104" s="24"/>
      <c r="G104" s="25" t="s">
        <v>33</v>
      </c>
      <c r="H104" s="24"/>
      <c r="I104" s="24"/>
      <c r="J104" s="24"/>
      <c r="K104" s="24"/>
      <c r="L104" s="26"/>
      <c r="M104" s="26"/>
      <c r="N104" s="50"/>
      <c r="O104" s="51"/>
    </row>
    <row r="105" spans="1:15" ht="25.5" customHeight="1">
      <c r="A105" s="20"/>
      <c r="B105" s="20"/>
      <c r="C105" s="20"/>
      <c r="D105" s="20"/>
      <c r="E105" s="45" t="s">
        <v>34</v>
      </c>
      <c r="F105" s="27" t="s">
        <v>70</v>
      </c>
      <c r="G105" s="45" t="s">
        <v>67</v>
      </c>
      <c r="H105" s="45"/>
      <c r="I105" s="191" t="s">
        <v>68</v>
      </c>
      <c r="J105" s="27" t="s">
        <v>71</v>
      </c>
      <c r="K105" s="27" t="s">
        <v>52</v>
      </c>
      <c r="L105" s="149" t="s">
        <v>145</v>
      </c>
      <c r="M105" s="27" t="s">
        <v>35</v>
      </c>
      <c r="N105" s="21"/>
      <c r="O105" s="20"/>
    </row>
    <row r="106" spans="1:15" ht="12.75">
      <c r="A106" s="20"/>
      <c r="B106" s="105" t="s">
        <v>36</v>
      </c>
      <c r="C106" s="105"/>
      <c r="D106" s="105"/>
      <c r="E106" s="106">
        <v>4</v>
      </c>
      <c r="F106" s="107">
        <v>19000</v>
      </c>
      <c r="G106" s="108">
        <v>1500</v>
      </c>
      <c r="H106" s="109"/>
      <c r="I106" s="192">
        <f>'machinery costs'!K2</f>
        <v>1.7206874999999997</v>
      </c>
      <c r="J106" s="110">
        <v>25.61</v>
      </c>
      <c r="K106" s="144">
        <f>0.1*E106</f>
        <v>0.4</v>
      </c>
      <c r="L106" s="150">
        <f aca="true" t="shared" si="0" ref="L106:L111">(G106*E106)/J106</f>
        <v>234.28348301444748</v>
      </c>
      <c r="M106" s="144">
        <f>0.36*E106</f>
        <v>1.44</v>
      </c>
      <c r="N106" s="21"/>
      <c r="O106" s="20"/>
    </row>
    <row r="107" spans="1:15" ht="12.75">
      <c r="A107" s="20"/>
      <c r="B107" s="74" t="s">
        <v>37</v>
      </c>
      <c r="C107" s="74"/>
      <c r="D107" s="74"/>
      <c r="E107" s="92">
        <v>1</v>
      </c>
      <c r="F107" s="93">
        <v>28000</v>
      </c>
      <c r="G107" s="95">
        <v>750</v>
      </c>
      <c r="H107" s="42"/>
      <c r="I107" s="97">
        <f>'machinery costs'!K3</f>
        <v>4.727333333333333</v>
      </c>
      <c r="J107" s="98">
        <v>9.33</v>
      </c>
      <c r="K107" s="145">
        <f>0.34*E107</f>
        <v>0.34</v>
      </c>
      <c r="L107" s="151">
        <f t="shared" si="0"/>
        <v>80.38585209003216</v>
      </c>
      <c r="M107" s="145">
        <f>0.88*E107</f>
        <v>0.88</v>
      </c>
      <c r="N107" s="21"/>
      <c r="O107" s="20"/>
    </row>
    <row r="108" spans="1:15" ht="12.75">
      <c r="A108" s="20"/>
      <c r="B108" s="74" t="s">
        <v>122</v>
      </c>
      <c r="C108" s="74"/>
      <c r="D108" s="74"/>
      <c r="E108" s="92">
        <v>1</v>
      </c>
      <c r="F108" s="93">
        <v>206000</v>
      </c>
      <c r="G108" s="95">
        <v>1500</v>
      </c>
      <c r="H108" s="42"/>
      <c r="I108" s="97">
        <f>'machinery costs'!K4</f>
        <v>19.288895833333335</v>
      </c>
      <c r="J108" s="67" t="s">
        <v>81</v>
      </c>
      <c r="K108" s="143" t="s">
        <v>81</v>
      </c>
      <c r="L108" s="155">
        <f>L109</f>
        <v>147.34774066797644</v>
      </c>
      <c r="M108" s="146">
        <f>(L108*34.37)/G108</f>
        <v>3.3762278978388998</v>
      </c>
      <c r="N108" s="21"/>
      <c r="O108" s="20"/>
    </row>
    <row r="109" spans="1:15" ht="12.75">
      <c r="A109" s="20"/>
      <c r="B109" s="74"/>
      <c r="C109" s="74" t="s">
        <v>46</v>
      </c>
      <c r="D109" s="74"/>
      <c r="E109" s="92">
        <v>1</v>
      </c>
      <c r="F109" s="93">
        <v>51000</v>
      </c>
      <c r="G109" s="95">
        <v>750</v>
      </c>
      <c r="H109" s="42"/>
      <c r="I109" s="97">
        <f>'machinery costs'!K5</f>
        <v>9.5508125</v>
      </c>
      <c r="J109" s="99">
        <v>5.09</v>
      </c>
      <c r="K109" s="145">
        <f>2.41*E109</f>
        <v>2.41</v>
      </c>
      <c r="L109" s="151">
        <f t="shared" si="0"/>
        <v>147.34774066797644</v>
      </c>
      <c r="M109" s="146">
        <f>1.17*E109</f>
        <v>1.17</v>
      </c>
      <c r="N109" s="21"/>
      <c r="O109" s="20"/>
    </row>
    <row r="110" spans="1:15" ht="12.75">
      <c r="A110" s="20"/>
      <c r="B110" s="74"/>
      <c r="C110" s="74"/>
      <c r="D110" s="74"/>
      <c r="E110" s="92"/>
      <c r="F110" s="93"/>
      <c r="G110" s="95"/>
      <c r="H110" s="42"/>
      <c r="I110" s="97"/>
      <c r="J110" s="99"/>
      <c r="K110" s="145"/>
      <c r="L110" s="151"/>
      <c r="M110" s="146"/>
      <c r="N110" s="21"/>
      <c r="O110" s="20"/>
    </row>
    <row r="111" spans="1:15" ht="12.75">
      <c r="A111" s="20"/>
      <c r="B111" s="74" t="s">
        <v>74</v>
      </c>
      <c r="C111" s="74"/>
      <c r="D111" s="74"/>
      <c r="E111" s="92">
        <v>1</v>
      </c>
      <c r="F111" s="93">
        <v>11550</v>
      </c>
      <c r="G111" s="95">
        <v>1500</v>
      </c>
      <c r="H111" s="42"/>
      <c r="I111" s="97">
        <f>'machinery costs'!K7</f>
        <v>1.045996875</v>
      </c>
      <c r="J111" s="99">
        <v>25.6</v>
      </c>
      <c r="K111" s="145">
        <f>0.12*E111</f>
        <v>0.12</v>
      </c>
      <c r="L111" s="151">
        <f t="shared" si="0"/>
        <v>58.59375</v>
      </c>
      <c r="M111" s="146">
        <f>0.24*E111</f>
        <v>0.24</v>
      </c>
      <c r="N111" s="21"/>
      <c r="O111" s="20"/>
    </row>
    <row r="112" spans="1:15" ht="12.75">
      <c r="A112" s="20"/>
      <c r="B112" s="74" t="s">
        <v>102</v>
      </c>
      <c r="C112" s="74"/>
      <c r="D112" s="74"/>
      <c r="E112" s="92">
        <v>1</v>
      </c>
      <c r="F112" s="93">
        <v>31500</v>
      </c>
      <c r="G112" s="95">
        <v>1500</v>
      </c>
      <c r="H112" s="42"/>
      <c r="I112" s="97">
        <f>'machinery costs'!K8</f>
        <v>2.814</v>
      </c>
      <c r="J112" s="67" t="s">
        <v>81</v>
      </c>
      <c r="K112" s="141" t="s">
        <v>62</v>
      </c>
      <c r="L112" s="152" t="s">
        <v>81</v>
      </c>
      <c r="M112" s="146">
        <f>1.75*E112</f>
        <v>1.75</v>
      </c>
      <c r="N112" s="21"/>
      <c r="O112" s="20"/>
    </row>
    <row r="113" spans="1:15" ht="12.75">
      <c r="A113" s="20"/>
      <c r="B113" s="74" t="s">
        <v>111</v>
      </c>
      <c r="C113" s="74"/>
      <c r="D113" s="74"/>
      <c r="E113" s="92">
        <v>2</v>
      </c>
      <c r="F113" s="93">
        <v>138000</v>
      </c>
      <c r="G113" s="95">
        <v>1500</v>
      </c>
      <c r="H113" s="42"/>
      <c r="I113" s="97">
        <f>'machinery costs'!K9</f>
        <v>8.51</v>
      </c>
      <c r="J113" s="68" t="s">
        <v>81</v>
      </c>
      <c r="K113" s="142" t="s">
        <v>81</v>
      </c>
      <c r="L113" s="155">
        <f>+L107+L110+L111</f>
        <v>138.97960209003216</v>
      </c>
      <c r="M113" s="146">
        <f>(L113*4.6)/G113</f>
        <v>0.42620411307609857</v>
      </c>
      <c r="N113" s="21"/>
      <c r="O113" s="20"/>
    </row>
    <row r="114" spans="1:15" ht="12.75">
      <c r="A114" s="20"/>
      <c r="B114" s="74" t="s">
        <v>38</v>
      </c>
      <c r="C114" s="74"/>
      <c r="D114" s="74"/>
      <c r="E114" s="92">
        <v>4</v>
      </c>
      <c r="F114" s="93">
        <v>29000</v>
      </c>
      <c r="G114" s="95">
        <v>1500</v>
      </c>
      <c r="H114" s="42"/>
      <c r="I114" s="97">
        <f>'machinery costs'!K10</f>
        <v>2.501552083333334</v>
      </c>
      <c r="J114" s="69" t="s">
        <v>81</v>
      </c>
      <c r="K114" s="142" t="s">
        <v>81</v>
      </c>
      <c r="L114" s="155">
        <f>L106</f>
        <v>234.28348301444748</v>
      </c>
      <c r="M114" s="146">
        <f>(L114*1.03)/G114</f>
        <v>0.16087465833658726</v>
      </c>
      <c r="N114" s="21"/>
      <c r="O114" s="20"/>
    </row>
    <row r="115" spans="1:15" ht="12.75">
      <c r="A115" s="20"/>
      <c r="B115" s="103" t="s">
        <v>60</v>
      </c>
      <c r="C115" s="103"/>
      <c r="D115" s="103"/>
      <c r="E115" s="104">
        <v>1</v>
      </c>
      <c r="F115" s="94">
        <v>16000</v>
      </c>
      <c r="G115" s="96">
        <v>1500</v>
      </c>
      <c r="H115" s="43"/>
      <c r="I115" s="161">
        <f>'machinery costs'!K11</f>
        <v>1.4293333333333331</v>
      </c>
      <c r="J115" s="70" t="s">
        <v>81</v>
      </c>
      <c r="K115" s="148">
        <f>0.21*E115</f>
        <v>0.21</v>
      </c>
      <c r="L115" s="153" t="s">
        <v>81</v>
      </c>
      <c r="M115" s="147">
        <v>0.15</v>
      </c>
      <c r="N115" s="21"/>
      <c r="O115" s="20"/>
    </row>
    <row r="116" spans="1:15" ht="12.75">
      <c r="A116" s="20"/>
      <c r="C116" s="20"/>
      <c r="D116" s="20"/>
      <c r="E116" s="30"/>
      <c r="F116" s="28"/>
      <c r="G116" s="28"/>
      <c r="H116" s="28"/>
      <c r="I116" s="46"/>
      <c r="J116" s="31" t="s">
        <v>64</v>
      </c>
      <c r="K116" s="101">
        <f>SUM(K106:K114)*M119+(K115*M119*1.2)</f>
        <v>8.805000000000001</v>
      </c>
      <c r="M116" s="29"/>
      <c r="N116" s="21"/>
      <c r="O116" s="20"/>
    </row>
    <row r="117" spans="1:15" ht="12.75">
      <c r="A117" s="20"/>
      <c r="B117" s="32" t="s">
        <v>72</v>
      </c>
      <c r="C117" s="32"/>
      <c r="D117" s="32"/>
      <c r="E117" s="32"/>
      <c r="F117" s="33"/>
      <c r="G117" s="33"/>
      <c r="H117" s="33"/>
      <c r="I117" s="100">
        <f>SUM(I106:I115)</f>
        <v>51.58861145833333</v>
      </c>
      <c r="J117" s="31" t="s">
        <v>65</v>
      </c>
      <c r="K117" s="101">
        <f>(K116*0.1)+K116</f>
        <v>9.685500000000001</v>
      </c>
      <c r="L117" s="48" t="s">
        <v>73</v>
      </c>
      <c r="M117" s="101">
        <f>SUM(M106:M115)</f>
        <v>9.593306669251584</v>
      </c>
      <c r="N117" s="21"/>
      <c r="O117" s="20"/>
    </row>
    <row r="118" spans="1:15" ht="12.75">
      <c r="A118" s="20"/>
      <c r="B118" s="32"/>
      <c r="C118" s="20"/>
      <c r="D118" s="20"/>
      <c r="E118" s="20"/>
      <c r="F118" s="44"/>
      <c r="G118" s="34"/>
      <c r="H118" s="34"/>
      <c r="I118" s="35"/>
      <c r="J118" s="32"/>
      <c r="K118" s="154"/>
      <c r="L118" s="154"/>
      <c r="M118" s="36"/>
      <c r="N118" s="21"/>
      <c r="O118" s="20"/>
    </row>
    <row r="119" spans="1:15" ht="12.75">
      <c r="A119" s="20"/>
      <c r="B119" s="20"/>
      <c r="C119" s="32"/>
      <c r="D119" s="32"/>
      <c r="E119" s="32"/>
      <c r="F119" s="37"/>
      <c r="G119" s="37"/>
      <c r="H119" s="37"/>
      <c r="I119" s="37"/>
      <c r="J119" s="193" t="s">
        <v>39</v>
      </c>
      <c r="K119" s="193"/>
      <c r="L119" s="193"/>
      <c r="M119" s="158">
        <v>2.5</v>
      </c>
      <c r="N119" s="21"/>
      <c r="O119" s="20"/>
    </row>
    <row r="120" spans="1:15" ht="12.75">
      <c r="A120" s="20" t="s">
        <v>101</v>
      </c>
      <c r="B120" s="32"/>
      <c r="C120" s="32"/>
      <c r="D120" s="32"/>
      <c r="E120" s="32"/>
      <c r="F120" s="37"/>
      <c r="G120" s="37"/>
      <c r="H120" s="37"/>
      <c r="I120" s="35"/>
      <c r="J120" s="32"/>
      <c r="K120" s="36"/>
      <c r="L120" s="36"/>
      <c r="M120" s="36"/>
      <c r="N120" s="21"/>
      <c r="O120" s="20"/>
    </row>
    <row r="121" spans="1:15" ht="12.75">
      <c r="A121" s="20" t="s">
        <v>150</v>
      </c>
      <c r="B121" s="32"/>
      <c r="C121" s="32"/>
      <c r="D121" s="32"/>
      <c r="E121" s="32"/>
      <c r="F121" s="37"/>
      <c r="G121" s="37"/>
      <c r="H121" s="37"/>
      <c r="I121" s="35"/>
      <c r="J121" s="32"/>
      <c r="K121" s="36"/>
      <c r="L121" s="36"/>
      <c r="M121" s="36"/>
      <c r="N121" s="21"/>
      <c r="O121" s="20"/>
    </row>
    <row r="122" spans="1:15" ht="12.75">
      <c r="A122" s="71" t="s">
        <v>151</v>
      </c>
      <c r="B122" s="32"/>
      <c r="C122" s="32"/>
      <c r="D122" s="32"/>
      <c r="E122" s="32"/>
      <c r="F122" s="37"/>
      <c r="G122" s="37"/>
      <c r="H122" s="37"/>
      <c r="I122" s="35"/>
      <c r="J122" s="32"/>
      <c r="K122" s="36"/>
      <c r="L122" s="36"/>
      <c r="M122" s="36"/>
      <c r="N122" s="21"/>
      <c r="O122" s="20"/>
    </row>
    <row r="123" spans="1:15" ht="12.75">
      <c r="A123" s="20" t="s">
        <v>59</v>
      </c>
      <c r="B123" s="20"/>
      <c r="C123" s="20"/>
      <c r="D123" s="20"/>
      <c r="E123" s="20"/>
      <c r="F123" s="38"/>
      <c r="G123" s="38"/>
      <c r="H123" s="38"/>
      <c r="I123" s="35"/>
      <c r="J123" s="20"/>
      <c r="K123" s="21"/>
      <c r="L123" s="21"/>
      <c r="M123" s="21"/>
      <c r="N123" s="21"/>
      <c r="O123" s="20"/>
    </row>
    <row r="124" spans="1:15" ht="12.75">
      <c r="A124" s="20" t="s">
        <v>135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39"/>
      <c r="M124" s="21"/>
      <c r="N124" s="21"/>
      <c r="O124" s="20"/>
    </row>
    <row r="125" spans="1:15" ht="12.75">
      <c r="A125" s="20" t="s">
        <v>103</v>
      </c>
      <c r="B125" s="20"/>
      <c r="C125" s="20"/>
      <c r="D125" s="20"/>
      <c r="E125" s="40"/>
      <c r="F125" s="40"/>
      <c r="G125" s="40"/>
      <c r="H125" s="40"/>
      <c r="I125" s="40"/>
      <c r="J125" s="20"/>
      <c r="K125" s="20"/>
      <c r="L125" s="21"/>
      <c r="M125" s="21"/>
      <c r="N125" s="21"/>
      <c r="O125" s="20"/>
    </row>
    <row r="126" spans="1:15" ht="12.75">
      <c r="A126" s="54" t="s">
        <v>82</v>
      </c>
      <c r="B126" s="20"/>
      <c r="C126" s="41"/>
      <c r="D126" s="20"/>
      <c r="E126" s="40"/>
      <c r="F126" s="40"/>
      <c r="G126" s="40"/>
      <c r="H126" s="40"/>
      <c r="I126" s="40"/>
      <c r="J126" s="20"/>
      <c r="K126" s="20"/>
      <c r="L126" s="21"/>
      <c r="M126" s="21"/>
      <c r="N126" s="21"/>
      <c r="O126" s="20"/>
    </row>
    <row r="127" spans="1:15" ht="12.75">
      <c r="A127" s="20" t="s">
        <v>48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1"/>
      <c r="M127" s="21"/>
      <c r="N127" s="21"/>
      <c r="O127" s="20"/>
    </row>
    <row r="128" spans="1:15" ht="12.75">
      <c r="A128" s="20" t="s">
        <v>144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1"/>
      <c r="M128" s="21"/>
      <c r="N128" s="21"/>
      <c r="O128" s="20"/>
    </row>
    <row r="129" spans="1:15" ht="12.75">
      <c r="A129" s="20" t="s">
        <v>40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1"/>
      <c r="M129" s="21"/>
      <c r="N129" s="21"/>
      <c r="O129" s="20"/>
    </row>
    <row r="130" spans="1:15" ht="12.75">
      <c r="A130" s="20" t="s">
        <v>61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1"/>
      <c r="M130" s="21"/>
      <c r="N130" s="21"/>
      <c r="O130" s="20"/>
    </row>
    <row r="131" spans="1:15" ht="12.75">
      <c r="A131" s="20" t="s">
        <v>63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  <c r="M131" s="21"/>
      <c r="N131" s="21"/>
      <c r="O131" s="20"/>
    </row>
  </sheetData>
  <sheetProtection/>
  <mergeCells count="7">
    <mergeCell ref="J119:L119"/>
    <mergeCell ref="C1:M1"/>
    <mergeCell ref="C2:M2"/>
    <mergeCell ref="A6:D6"/>
    <mergeCell ref="E6:G6"/>
    <mergeCell ref="M4:N4"/>
    <mergeCell ref="E3:K3"/>
  </mergeCells>
  <hyperlinks>
    <hyperlink ref="A122" r:id="rId1" display="http://www.extension.umn.edu/distribution/businessmanagement/DF6696.pdf"/>
    <hyperlink ref="C100" r:id="rId2" display="http://aede.osu.edu/resources/docs/pdf/UDSIO6SG-9315-IQAW-X7QLG33KLHMNAZZ6.pdf"/>
  </hyperlinks>
  <printOptions horizontalCentered="1"/>
  <pageMargins left="0.32" right="0.27" top="0.5" bottom="0.5" header="0.5" footer="0.5"/>
  <pageSetup fitToHeight="2" fitToWidth="1" horizontalDpi="300" verticalDpi="300" orientation="portrait" scale="86" r:id="rId4"/>
  <rowBreaks count="1" manualBreakCount="1">
    <brk id="57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6.8515625" style="0" customWidth="1"/>
    <col min="4" max="4" width="17.00390625" style="0" customWidth="1"/>
    <col min="5" max="5" width="13.28125" style="0" customWidth="1"/>
    <col min="6" max="6" width="13.8515625" style="0" customWidth="1"/>
    <col min="8" max="8" width="11.8515625" style="0" customWidth="1"/>
    <col min="9" max="10" width="12.57421875" style="0" customWidth="1"/>
    <col min="11" max="11" width="11.7109375" style="0" customWidth="1"/>
  </cols>
  <sheetData>
    <row r="1" spans="1:11" ht="12.75">
      <c r="A1" t="s">
        <v>140</v>
      </c>
      <c r="D1" t="s">
        <v>141</v>
      </c>
      <c r="E1" t="s">
        <v>142</v>
      </c>
      <c r="F1" t="s">
        <v>143</v>
      </c>
      <c r="G1" t="s">
        <v>136</v>
      </c>
      <c r="H1" t="s">
        <v>137</v>
      </c>
      <c r="I1" t="s">
        <v>138</v>
      </c>
      <c r="J1" s="156" t="s">
        <v>146</v>
      </c>
      <c r="K1" t="s">
        <v>139</v>
      </c>
    </row>
    <row r="2" spans="1:16" ht="12.75">
      <c r="A2" s="105" t="s">
        <v>36</v>
      </c>
      <c r="B2" s="105"/>
      <c r="C2" s="105"/>
      <c r="D2" s="139">
        <f>('corn-cons'!F106+('corn-cons'!F106*0.34)+E2)/2</f>
        <v>13513.75</v>
      </c>
      <c r="E2" s="139">
        <f>('corn-cons'!F106-('corn-cons'!F106*0.34))/8</f>
        <v>1567.5</v>
      </c>
      <c r="F2" s="139">
        <f aca="true" t="shared" si="0" ref="F2:F11">0.06*D2</f>
        <v>810.8249999999999</v>
      </c>
      <c r="G2" s="139">
        <f aca="true" t="shared" si="1" ref="G2:G11">0.005*D2</f>
        <v>67.56875</v>
      </c>
      <c r="H2" s="139">
        <f aca="true" t="shared" si="2" ref="H2:H11">0.01*D2</f>
        <v>135.1375</v>
      </c>
      <c r="I2" s="139">
        <f aca="true" t="shared" si="3" ref="I2:I11">SUM(E2:H2)</f>
        <v>2581.0312499999995</v>
      </c>
      <c r="J2" s="139">
        <f>'corn-cons'!G106</f>
        <v>1500</v>
      </c>
      <c r="K2" s="139">
        <f aca="true" t="shared" si="4" ref="K2:K11">I2/J2</f>
        <v>1.7206874999999997</v>
      </c>
      <c r="L2" s="137"/>
      <c r="N2" s="113"/>
      <c r="P2" s="113"/>
    </row>
    <row r="3" spans="1:16" ht="12.75">
      <c r="A3" s="138" t="s">
        <v>37</v>
      </c>
      <c r="B3" s="138"/>
      <c r="C3" s="138"/>
      <c r="D3" s="137">
        <f>('corn-cons'!F107+('corn-cons'!F107*0.44)+E3)/2</f>
        <v>21140</v>
      </c>
      <c r="E3" s="137">
        <f>('corn-cons'!F107-('corn-cons'!F107*0.44))/8</f>
        <v>1960</v>
      </c>
      <c r="F3" s="137">
        <f t="shared" si="0"/>
        <v>1268.3999999999999</v>
      </c>
      <c r="G3" s="137">
        <f t="shared" si="1"/>
        <v>105.7</v>
      </c>
      <c r="H3" s="137">
        <f t="shared" si="2"/>
        <v>211.4</v>
      </c>
      <c r="I3" s="137">
        <f t="shared" si="3"/>
        <v>3545.4999999999995</v>
      </c>
      <c r="J3" s="137">
        <f>'corn-cons'!G107</f>
        <v>750</v>
      </c>
      <c r="K3" s="137">
        <f t="shared" si="4"/>
        <v>4.727333333333333</v>
      </c>
      <c r="L3" s="137"/>
      <c r="N3" s="113"/>
      <c r="P3" s="113"/>
    </row>
    <row r="4" spans="1:16" ht="12.75">
      <c r="A4" s="138" t="s">
        <v>122</v>
      </c>
      <c r="B4" s="138"/>
      <c r="C4" s="138"/>
      <c r="D4" s="137">
        <f>('corn-cons'!F108+('corn-cons'!F108*0.29)+E4)/2</f>
        <v>142011.25</v>
      </c>
      <c r="E4" s="137">
        <f>('corn-cons'!F108-('corn-cons'!F108*0.29))/8</f>
        <v>18282.5</v>
      </c>
      <c r="F4" s="137">
        <f t="shared" si="0"/>
        <v>8520.675</v>
      </c>
      <c r="G4" s="157">
        <f t="shared" si="1"/>
        <v>710.05625</v>
      </c>
      <c r="H4" s="137">
        <f t="shared" si="2"/>
        <v>1420.1125</v>
      </c>
      <c r="I4" s="137">
        <f t="shared" si="3"/>
        <v>28933.34375</v>
      </c>
      <c r="J4" s="137">
        <f>'corn-cons'!G108</f>
        <v>1500</v>
      </c>
      <c r="K4" s="157">
        <f t="shared" si="4"/>
        <v>19.288895833333335</v>
      </c>
      <c r="L4" s="137"/>
      <c r="N4" s="113"/>
      <c r="P4" s="113"/>
    </row>
    <row r="5" spans="1:16" ht="12.75">
      <c r="A5" s="138"/>
      <c r="B5" s="138" t="s">
        <v>46</v>
      </c>
      <c r="C5" s="138"/>
      <c r="D5" s="137">
        <f>('corn-cons'!F109+('corn-cons'!F109*0.29)+E5)/2</f>
        <v>35158.125</v>
      </c>
      <c r="E5" s="137">
        <f>('corn-cons'!F109-('corn-cons'!F109*0.29))/8</f>
        <v>4526.25</v>
      </c>
      <c r="F5" s="137">
        <f t="shared" si="0"/>
        <v>2109.4874999999997</v>
      </c>
      <c r="G5" s="137">
        <f t="shared" si="1"/>
        <v>175.790625</v>
      </c>
      <c r="H5" s="137">
        <f t="shared" si="2"/>
        <v>351.58125</v>
      </c>
      <c r="I5" s="137">
        <f t="shared" si="3"/>
        <v>7163.109374999999</v>
      </c>
      <c r="J5" s="137">
        <f>'corn-cons'!G109</f>
        <v>750</v>
      </c>
      <c r="K5" s="137">
        <f t="shared" si="4"/>
        <v>9.5508125</v>
      </c>
      <c r="L5" s="137"/>
      <c r="N5" s="113"/>
      <c r="P5" s="113"/>
    </row>
    <row r="6" spans="1:16" ht="12.75">
      <c r="A6" s="138"/>
      <c r="B6" s="138"/>
      <c r="C6" s="138"/>
      <c r="D6" s="137"/>
      <c r="E6" s="137"/>
      <c r="F6" s="137"/>
      <c r="G6" s="137"/>
      <c r="H6" s="137"/>
      <c r="I6" s="137"/>
      <c r="J6" s="137"/>
      <c r="K6" s="137"/>
      <c r="L6" s="137"/>
      <c r="N6" s="113"/>
      <c r="P6" s="113"/>
    </row>
    <row r="7" spans="1:16" ht="12.75">
      <c r="A7" s="138" t="s">
        <v>74</v>
      </c>
      <c r="B7" s="138"/>
      <c r="C7" s="138"/>
      <c r="D7" s="137">
        <f>('corn-cons'!F111+('corn-cons'!F111*0.34)+E7)/2</f>
        <v>8214.9375</v>
      </c>
      <c r="E7" s="137">
        <f>('corn-cons'!F111-('corn-cons'!F111*0.34))/8</f>
        <v>952.875</v>
      </c>
      <c r="F7" s="137">
        <f t="shared" si="0"/>
        <v>492.89625</v>
      </c>
      <c r="G7" s="137">
        <f t="shared" si="1"/>
        <v>41.0746875</v>
      </c>
      <c r="H7" s="137">
        <f t="shared" si="2"/>
        <v>82.149375</v>
      </c>
      <c r="I7" s="137">
        <f t="shared" si="3"/>
        <v>1568.9953125</v>
      </c>
      <c r="J7" s="137">
        <f>'corn-cons'!G111</f>
        <v>1500</v>
      </c>
      <c r="K7" s="137">
        <f t="shared" si="4"/>
        <v>1.045996875</v>
      </c>
      <c r="L7" s="137"/>
      <c r="N7" s="113"/>
      <c r="P7" s="113"/>
    </row>
    <row r="8" spans="1:16" ht="12.75">
      <c r="A8" s="138" t="s">
        <v>102</v>
      </c>
      <c r="B8" s="138"/>
      <c r="C8" s="138"/>
      <c r="D8" s="137">
        <f>('corn-cons'!F112+('corn-cons'!F112*0.36)+E8)/2</f>
        <v>22680</v>
      </c>
      <c r="E8" s="137">
        <f>('corn-cons'!F112-('corn-cons'!F112*0.36))/8</f>
        <v>2520</v>
      </c>
      <c r="F8" s="137">
        <f t="shared" si="0"/>
        <v>1360.8</v>
      </c>
      <c r="G8" s="137">
        <f t="shared" si="1"/>
        <v>113.4</v>
      </c>
      <c r="H8" s="137">
        <f t="shared" si="2"/>
        <v>226.8</v>
      </c>
      <c r="I8" s="137">
        <f t="shared" si="3"/>
        <v>4221</v>
      </c>
      <c r="J8" s="137">
        <f>'corn-cons'!G112</f>
        <v>1500</v>
      </c>
      <c r="K8" s="137">
        <f t="shared" si="4"/>
        <v>2.814</v>
      </c>
      <c r="L8" s="137"/>
      <c r="N8" s="113"/>
      <c r="P8" s="113"/>
    </row>
    <row r="9" spans="1:16" ht="12.75">
      <c r="A9" s="138" t="s">
        <v>111</v>
      </c>
      <c r="B9" s="138"/>
      <c r="C9" s="138"/>
      <c r="D9" s="137">
        <f>('corn-cons'!F113+('corn-cons'!F113*0.36)+E9)/2</f>
        <v>96600</v>
      </c>
      <c r="E9" s="137">
        <f>('corn-cons'!F113-('corn-cons'!F113*0.36))/16</f>
        <v>5520</v>
      </c>
      <c r="F9" s="137">
        <f t="shared" si="0"/>
        <v>5796</v>
      </c>
      <c r="G9" s="137">
        <f t="shared" si="1"/>
        <v>483</v>
      </c>
      <c r="H9" s="137">
        <f t="shared" si="2"/>
        <v>966</v>
      </c>
      <c r="I9" s="137">
        <f t="shared" si="3"/>
        <v>12765</v>
      </c>
      <c r="J9" s="137">
        <f>'corn-cons'!G113</f>
        <v>1500</v>
      </c>
      <c r="K9" s="137">
        <f t="shared" si="4"/>
        <v>8.51</v>
      </c>
      <c r="L9" s="137"/>
      <c r="N9" s="113"/>
      <c r="P9" s="113"/>
    </row>
    <row r="10" spans="1:16" ht="12.75">
      <c r="A10" s="138" t="s">
        <v>38</v>
      </c>
      <c r="B10" s="138"/>
      <c r="C10" s="138"/>
      <c r="D10" s="137">
        <f>('corn-cons'!F114+('corn-cons'!F114*0.41)+E10)/2</f>
        <v>21514.375</v>
      </c>
      <c r="E10" s="137">
        <f>('corn-cons'!F114-('corn-cons'!F114*0.41))/8</f>
        <v>2138.75</v>
      </c>
      <c r="F10" s="137">
        <f t="shared" si="0"/>
        <v>1290.8625</v>
      </c>
      <c r="G10" s="137">
        <f t="shared" si="1"/>
        <v>107.571875</v>
      </c>
      <c r="H10" s="137">
        <f t="shared" si="2"/>
        <v>215.14375</v>
      </c>
      <c r="I10" s="137">
        <f t="shared" si="3"/>
        <v>3752.3281250000005</v>
      </c>
      <c r="J10" s="157">
        <f>'corn-cons'!G114</f>
        <v>1500</v>
      </c>
      <c r="K10" s="137">
        <f t="shared" si="4"/>
        <v>2.501552083333334</v>
      </c>
      <c r="L10" s="137"/>
      <c r="N10" s="113"/>
      <c r="P10" s="113"/>
    </row>
    <row r="11" spans="1:16" ht="12.75">
      <c r="A11" s="103" t="s">
        <v>60</v>
      </c>
      <c r="B11" s="103"/>
      <c r="C11" s="103"/>
      <c r="D11" s="140">
        <f>('corn-cons'!F115+('corn-cons'!F115*0.36)+E11)/2</f>
        <v>11520</v>
      </c>
      <c r="E11" s="140">
        <f>('corn-cons'!F115-('corn-cons'!F115*0.36))/8</f>
        <v>1280</v>
      </c>
      <c r="F11" s="140">
        <f t="shared" si="0"/>
        <v>691.1999999999999</v>
      </c>
      <c r="G11" s="140">
        <f t="shared" si="1"/>
        <v>57.6</v>
      </c>
      <c r="H11" s="140">
        <f t="shared" si="2"/>
        <v>115.2</v>
      </c>
      <c r="I11" s="140">
        <f t="shared" si="3"/>
        <v>2143.9999999999995</v>
      </c>
      <c r="J11" s="140">
        <f>'corn-cons'!G115</f>
        <v>1500</v>
      </c>
      <c r="K11" s="140">
        <f t="shared" si="4"/>
        <v>1.4293333333333331</v>
      </c>
      <c r="L11" s="137"/>
      <c r="N11" s="113"/>
      <c r="P11" s="113"/>
    </row>
    <row r="12" spans="5:11" ht="12.75">
      <c r="E12" s="113">
        <f aca="true" t="shared" si="5" ref="E12:K12">SUM(E2:E11)</f>
        <v>38747.875</v>
      </c>
      <c r="F12" s="113">
        <f t="shared" si="5"/>
        <v>22341.146249999998</v>
      </c>
      <c r="G12" s="113">
        <f t="shared" si="5"/>
        <v>1861.7621875000002</v>
      </c>
      <c r="H12" s="113">
        <f t="shared" si="5"/>
        <v>3723.5243750000004</v>
      </c>
      <c r="I12" s="113">
        <f t="shared" si="5"/>
        <v>66674.3078125</v>
      </c>
      <c r="J12" s="113">
        <f t="shared" si="5"/>
        <v>12000</v>
      </c>
      <c r="K12" s="113">
        <f t="shared" si="5"/>
        <v>51.58861145833333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showGridLines="0" zoomScalePageLayoutView="0" workbookViewId="0" topLeftCell="A1">
      <selection activeCell="A1" sqref="A1:I2"/>
    </sheetView>
  </sheetViews>
  <sheetFormatPr defaultColWidth="9.140625" defaultRowHeight="12.75"/>
  <cols>
    <col min="4" max="4" width="11.7109375" style="0" customWidth="1"/>
    <col min="6" max="6" width="6.421875" style="0" customWidth="1"/>
    <col min="7" max="7" width="13.57421875" style="0" customWidth="1"/>
    <col min="8" max="8" width="10.28125" style="0" customWidth="1"/>
    <col min="9" max="9" width="13.57421875" style="0" customWidth="1"/>
  </cols>
  <sheetData>
    <row r="1" spans="1:9" ht="12.75">
      <c r="A1" s="202" t="s">
        <v>169</v>
      </c>
      <c r="B1" s="203"/>
      <c r="C1" s="203"/>
      <c r="D1" s="203"/>
      <c r="E1" s="203"/>
      <c r="F1" s="203"/>
      <c r="G1" s="203"/>
      <c r="H1" s="203"/>
      <c r="I1" s="204"/>
    </row>
    <row r="2" spans="1:9" ht="13.5" thickBot="1">
      <c r="A2" s="205"/>
      <c r="B2" s="206"/>
      <c r="C2" s="206"/>
      <c r="D2" s="206"/>
      <c r="E2" s="206"/>
      <c r="F2" s="206"/>
      <c r="G2" s="206"/>
      <c r="H2" s="206"/>
      <c r="I2" s="207"/>
    </row>
    <row r="3" spans="1:9" ht="21" thickTop="1">
      <c r="A3" s="208" t="s">
        <v>153</v>
      </c>
      <c r="B3" s="208"/>
      <c r="C3" s="208"/>
      <c r="D3" s="208" t="s">
        <v>155</v>
      </c>
      <c r="E3" s="208"/>
      <c r="F3" s="208"/>
      <c r="G3" s="209" t="s">
        <v>157</v>
      </c>
      <c r="H3" s="209"/>
      <c r="I3" s="210"/>
    </row>
    <row r="4" spans="1:9" ht="20.25">
      <c r="A4" s="162" t="s">
        <v>158</v>
      </c>
      <c r="B4" s="163"/>
      <c r="C4" s="164"/>
      <c r="D4" s="164"/>
      <c r="E4" s="164"/>
      <c r="F4" s="164"/>
      <c r="G4" s="175">
        <f>'corn-cons'!$L$8</f>
        <v>150</v>
      </c>
      <c r="H4" s="160"/>
      <c r="I4" s="176">
        <f>'corn-cons'!$M$8</f>
        <v>184</v>
      </c>
    </row>
    <row r="5" spans="1:9" ht="20.25">
      <c r="A5" s="165" t="s">
        <v>154</v>
      </c>
      <c r="B5" s="165"/>
      <c r="C5" s="166"/>
      <c r="D5" s="167">
        <f>'corn-cons'!I10</f>
        <v>4</v>
      </c>
      <c r="E5" s="166" t="s">
        <v>156</v>
      </c>
      <c r="F5" s="168"/>
      <c r="G5" s="180">
        <f>'corn-cons'!$L$10</f>
        <v>600</v>
      </c>
      <c r="H5" s="180"/>
      <c r="I5" s="181">
        <f>'corn-cons'!$M$10</f>
        <v>736</v>
      </c>
    </row>
    <row r="6" spans="6:9" ht="7.5" customHeight="1">
      <c r="F6" s="178"/>
      <c r="G6" s="182"/>
      <c r="H6" s="182"/>
      <c r="I6" s="182"/>
    </row>
    <row r="7" spans="1:9" ht="20.25">
      <c r="A7" s="170" t="s">
        <v>159</v>
      </c>
      <c r="B7" s="177"/>
      <c r="C7" s="163"/>
      <c r="D7" s="169"/>
      <c r="E7" s="164"/>
      <c r="F7" s="164"/>
      <c r="G7" s="169"/>
      <c r="H7" s="169"/>
      <c r="I7" s="169"/>
    </row>
    <row r="8" spans="1:9" ht="20.25">
      <c r="A8" s="171" t="s">
        <v>160</v>
      </c>
      <c r="B8" s="171"/>
      <c r="C8" s="171"/>
      <c r="D8" s="172">
        <f>'corn-cons'!$I$22</f>
        <v>200</v>
      </c>
      <c r="E8" s="168" t="s">
        <v>116</v>
      </c>
      <c r="F8" s="168"/>
      <c r="G8" s="180">
        <f>'corn-cons'!$L$21</f>
        <v>80</v>
      </c>
      <c r="H8" s="180"/>
      <c r="I8" s="181">
        <f>'corn-cons'!$M$21</f>
        <v>85</v>
      </c>
    </row>
    <row r="9" spans="1:9" ht="23.25">
      <c r="A9" s="171" t="s">
        <v>171</v>
      </c>
      <c r="B9" s="171"/>
      <c r="C9" s="171"/>
      <c r="D9" s="173">
        <f>'corn-cons'!$F$83</f>
        <v>400</v>
      </c>
      <c r="E9" s="171" t="s">
        <v>12</v>
      </c>
      <c r="F9" s="171"/>
      <c r="G9" s="183">
        <f>'corn-cons'!$L$24</f>
        <v>111.28571428571429</v>
      </c>
      <c r="H9" s="183"/>
      <c r="I9" s="184">
        <f>'corn-cons'!$M$24</f>
        <v>124.85714285714286</v>
      </c>
    </row>
    <row r="10" spans="1:9" ht="23.25">
      <c r="A10" s="171" t="s">
        <v>172</v>
      </c>
      <c r="B10" s="171"/>
      <c r="C10" s="171"/>
      <c r="D10" s="173">
        <f>'corn-cons'!$I$83</f>
        <v>800</v>
      </c>
      <c r="E10" s="171" t="s">
        <v>12</v>
      </c>
      <c r="F10" s="171"/>
      <c r="G10" s="183">
        <f>'corn-cons'!$L$25</f>
        <v>42.69230769230769</v>
      </c>
      <c r="H10" s="183"/>
      <c r="I10" s="184">
        <f>'corn-cons'!$M$25</f>
        <v>52.36923076923077</v>
      </c>
    </row>
    <row r="11" spans="1:9" ht="23.25">
      <c r="A11" s="171" t="s">
        <v>173</v>
      </c>
      <c r="B11" s="171"/>
      <c r="C11" s="171"/>
      <c r="D11" s="173">
        <f>'corn-cons'!$M$83</f>
        <v>860</v>
      </c>
      <c r="E11" s="171" t="s">
        <v>12</v>
      </c>
      <c r="F11" s="171"/>
      <c r="G11" s="183">
        <f>'corn-cons'!$L$26</f>
        <v>29.025</v>
      </c>
      <c r="H11" s="183"/>
      <c r="I11" s="184">
        <f>'corn-cons'!$M$26</f>
        <v>35.604000000000006</v>
      </c>
    </row>
    <row r="12" spans="1:9" ht="20.25">
      <c r="A12" s="171" t="s">
        <v>161</v>
      </c>
      <c r="B12" s="171"/>
      <c r="C12" s="171"/>
      <c r="D12" s="171"/>
      <c r="E12" s="171"/>
      <c r="F12" s="171"/>
      <c r="G12" s="183">
        <f>SUM('corn-cons'!$L$28:$L$30)</f>
        <v>54</v>
      </c>
      <c r="H12" s="183"/>
      <c r="I12" s="184">
        <f>SUM('corn-cons'!$N$28:$N$30)</f>
        <v>54</v>
      </c>
    </row>
    <row r="13" spans="1:9" ht="20.25">
      <c r="A13" s="165" t="s">
        <v>164</v>
      </c>
      <c r="B13" s="165"/>
      <c r="C13" s="165"/>
      <c r="D13" s="174">
        <f>'corn-cons'!$M$119</f>
        <v>2.5</v>
      </c>
      <c r="E13" s="165" t="s">
        <v>165</v>
      </c>
      <c r="F13" s="165"/>
      <c r="G13" s="185"/>
      <c r="H13" s="185"/>
      <c r="I13" s="186"/>
    </row>
    <row r="14" spans="7:9" ht="6.75" customHeight="1">
      <c r="G14" s="46"/>
      <c r="H14" s="46"/>
      <c r="I14" s="46"/>
    </row>
    <row r="15" spans="1:9" ht="20.25">
      <c r="A15" s="170" t="s">
        <v>162</v>
      </c>
      <c r="B15" s="163"/>
      <c r="C15" s="164"/>
      <c r="D15" s="164"/>
      <c r="E15" s="164"/>
      <c r="F15" s="187"/>
      <c r="G15" s="188"/>
      <c r="H15" s="188"/>
      <c r="I15" s="188"/>
    </row>
    <row r="16" spans="1:9" ht="20.25">
      <c r="A16" s="166" t="s">
        <v>163</v>
      </c>
      <c r="B16" s="166"/>
      <c r="C16" s="166"/>
      <c r="D16" s="166"/>
      <c r="E16" s="166"/>
      <c r="F16" s="166"/>
      <c r="G16" s="189">
        <f>'corn-cons'!$L$46</f>
        <v>130</v>
      </c>
      <c r="H16" s="189"/>
      <c r="I16" s="190">
        <f>'corn-cons'!$M$46</f>
        <v>165</v>
      </c>
    </row>
    <row r="17" spans="7:9" ht="6.75" customHeight="1">
      <c r="G17" s="46"/>
      <c r="H17" s="46"/>
      <c r="I17" s="46"/>
    </row>
    <row r="18" spans="1:9" ht="20.25">
      <c r="A18" s="170" t="s">
        <v>166</v>
      </c>
      <c r="B18" s="163"/>
      <c r="C18" s="164"/>
      <c r="D18" s="164"/>
      <c r="E18" s="164"/>
      <c r="F18" s="164"/>
      <c r="G18" s="169"/>
      <c r="H18" s="169"/>
      <c r="I18" s="169"/>
    </row>
    <row r="19" spans="1:9" ht="20.25">
      <c r="A19" s="171" t="s">
        <v>167</v>
      </c>
      <c r="B19" s="171"/>
      <c r="C19" s="168"/>
      <c r="D19" s="168"/>
      <c r="E19" s="168"/>
      <c r="F19" s="168"/>
      <c r="G19" s="180">
        <f>'corn-cons'!$L$57</f>
        <v>66.84227889041131</v>
      </c>
      <c r="H19" s="180"/>
      <c r="I19" s="181">
        <f>'corn-cons'!$M$57</f>
        <v>150.6665812805211</v>
      </c>
    </row>
    <row r="20" spans="1:9" ht="20.25">
      <c r="A20" s="171" t="s">
        <v>168</v>
      </c>
      <c r="B20" s="171"/>
      <c r="C20" s="171"/>
      <c r="D20" s="171"/>
      <c r="E20" s="171"/>
      <c r="F20" s="171"/>
      <c r="G20" s="183">
        <f>'corn-cons'!L57+'corn-cons'!L47+'corn-cons'!L44</f>
        <v>138.37383889041132</v>
      </c>
      <c r="H20" s="183"/>
      <c r="I20" s="184">
        <f>'corn-cons'!N57+'corn-cons'!N47+'corn-cons'!N44</f>
        <v>278.377788203598</v>
      </c>
    </row>
    <row r="21" spans="1:9" ht="20.25">
      <c r="A21" s="165" t="s">
        <v>174</v>
      </c>
      <c r="B21" s="165"/>
      <c r="C21" s="165"/>
      <c r="D21" s="165"/>
      <c r="E21" s="165"/>
      <c r="F21" s="171"/>
      <c r="G21" s="185">
        <f>'corn-cons'!$L$55</f>
        <v>-63.15772110958869</v>
      </c>
      <c r="H21" s="183"/>
      <c r="I21" s="186">
        <f>'corn-cons'!$M$55</f>
        <v>-14.333418719478914</v>
      </c>
    </row>
    <row r="22" spans="1:9" ht="15">
      <c r="A22" s="159"/>
      <c r="B22" s="159"/>
      <c r="C22" s="159"/>
      <c r="D22" s="159"/>
      <c r="E22" s="159"/>
      <c r="F22" s="179"/>
      <c r="G22" s="179"/>
      <c r="H22" s="179"/>
      <c r="I22" s="179"/>
    </row>
    <row r="23" spans="1:9" ht="15">
      <c r="A23" s="159"/>
      <c r="B23" s="159"/>
      <c r="C23" s="159"/>
      <c r="D23" s="159"/>
      <c r="E23" s="159"/>
      <c r="F23" s="159"/>
      <c r="G23" s="159"/>
      <c r="H23" s="159"/>
      <c r="I23" s="159"/>
    </row>
    <row r="24" spans="1:9" ht="15">
      <c r="A24" s="159"/>
      <c r="B24" s="159"/>
      <c r="C24" s="159"/>
      <c r="D24" s="159"/>
      <c r="E24" s="159"/>
      <c r="F24" s="159"/>
      <c r="G24" s="159"/>
      <c r="H24" s="159"/>
      <c r="I24" s="159"/>
    </row>
    <row r="25" spans="1:9" ht="15">
      <c r="A25" s="159"/>
      <c r="B25" s="159"/>
      <c r="C25" s="159"/>
      <c r="D25" s="159"/>
      <c r="E25" s="159"/>
      <c r="F25" s="159"/>
      <c r="G25" s="159"/>
      <c r="H25" s="159"/>
      <c r="I25" s="159"/>
    </row>
    <row r="26" spans="1:9" ht="15">
      <c r="A26" s="159"/>
      <c r="B26" s="159"/>
      <c r="C26" s="159"/>
      <c r="D26" s="159"/>
      <c r="E26" s="159"/>
      <c r="F26" s="159"/>
      <c r="G26" s="159"/>
      <c r="H26" s="159"/>
      <c r="I26" s="159"/>
    </row>
    <row r="27" spans="1:9" ht="15">
      <c r="A27" s="159"/>
      <c r="B27" s="159"/>
      <c r="C27" s="159"/>
      <c r="D27" s="159"/>
      <c r="E27" s="159"/>
      <c r="F27" s="159"/>
      <c r="G27" s="159"/>
      <c r="H27" s="159"/>
      <c r="I27" s="159"/>
    </row>
    <row r="28" spans="1:9" ht="15">
      <c r="A28" s="159"/>
      <c r="B28" s="159"/>
      <c r="C28" s="159"/>
      <c r="D28" s="159"/>
      <c r="E28" s="159"/>
      <c r="F28" s="159"/>
      <c r="G28" s="159"/>
      <c r="H28" s="159"/>
      <c r="I28" s="159"/>
    </row>
    <row r="29" spans="1:9" ht="15">
      <c r="A29" s="159"/>
      <c r="B29" s="159"/>
      <c r="C29" s="159"/>
      <c r="D29" s="159"/>
      <c r="E29" s="159"/>
      <c r="F29" s="159"/>
      <c r="G29" s="159"/>
      <c r="H29" s="159"/>
      <c r="I29" s="159"/>
    </row>
    <row r="30" spans="1:9" ht="15">
      <c r="A30" s="159"/>
      <c r="B30" s="159"/>
      <c r="C30" s="159"/>
      <c r="D30" s="159"/>
      <c r="E30" s="159"/>
      <c r="F30" s="159"/>
      <c r="G30" s="159"/>
      <c r="H30" s="159"/>
      <c r="I30" s="159"/>
    </row>
    <row r="31" spans="1:9" ht="15">
      <c r="A31" s="159"/>
      <c r="B31" s="159"/>
      <c r="C31" s="159"/>
      <c r="D31" s="159"/>
      <c r="E31" s="159"/>
      <c r="F31" s="159"/>
      <c r="G31" s="159"/>
      <c r="H31" s="159"/>
      <c r="I31" s="159"/>
    </row>
    <row r="32" spans="1:9" ht="1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ht="15">
      <c r="A33" s="159"/>
      <c r="B33" s="159"/>
      <c r="C33" s="159"/>
      <c r="D33" s="159"/>
      <c r="E33" s="159"/>
      <c r="F33" s="159"/>
      <c r="G33" s="159"/>
      <c r="H33" s="159"/>
      <c r="I33" s="159"/>
    </row>
    <row r="34" spans="1:9" ht="15">
      <c r="A34" s="159"/>
      <c r="B34" s="159"/>
      <c r="C34" s="159"/>
      <c r="D34" s="159"/>
      <c r="E34" s="159"/>
      <c r="F34" s="159"/>
      <c r="G34" s="159"/>
      <c r="H34" s="159"/>
      <c r="I34" s="159"/>
    </row>
    <row r="35" spans="1:9" ht="15">
      <c r="A35" s="159"/>
      <c r="B35" s="159"/>
      <c r="C35" s="159"/>
      <c r="D35" s="159"/>
      <c r="E35" s="159"/>
      <c r="F35" s="159"/>
      <c r="G35" s="159"/>
      <c r="H35" s="159"/>
      <c r="I35" s="159"/>
    </row>
    <row r="36" spans="1:9" ht="15">
      <c r="A36" s="159"/>
      <c r="B36" s="159"/>
      <c r="C36" s="159"/>
      <c r="D36" s="159"/>
      <c r="E36" s="159"/>
      <c r="F36" s="159"/>
      <c r="G36" s="159"/>
      <c r="H36" s="159"/>
      <c r="I36" s="159"/>
    </row>
    <row r="37" spans="1:9" ht="15">
      <c r="A37" s="159"/>
      <c r="B37" s="159"/>
      <c r="C37" s="159"/>
      <c r="D37" s="159"/>
      <c r="E37" s="159"/>
      <c r="F37" s="159"/>
      <c r="G37" s="159"/>
      <c r="H37" s="159"/>
      <c r="I37" s="159"/>
    </row>
    <row r="38" spans="1:9" ht="15">
      <c r="A38" s="159"/>
      <c r="B38" s="159"/>
      <c r="C38" s="159"/>
      <c r="D38" s="159"/>
      <c r="E38" s="159"/>
      <c r="F38" s="159"/>
      <c r="G38" s="159"/>
      <c r="H38" s="159"/>
      <c r="I38" s="159"/>
    </row>
    <row r="39" spans="1:9" ht="15">
      <c r="A39" s="159"/>
      <c r="B39" s="159"/>
      <c r="C39" s="159"/>
      <c r="D39" s="159"/>
      <c r="E39" s="159"/>
      <c r="F39" s="159"/>
      <c r="G39" s="159"/>
      <c r="H39" s="159"/>
      <c r="I39" s="159"/>
    </row>
    <row r="40" spans="1:9" ht="15">
      <c r="A40" s="159"/>
      <c r="B40" s="159"/>
      <c r="C40" s="159"/>
      <c r="D40" s="159"/>
      <c r="E40" s="159"/>
      <c r="F40" s="159"/>
      <c r="G40" s="159"/>
      <c r="H40" s="159"/>
      <c r="I40" s="159"/>
    </row>
    <row r="41" spans="1:9" ht="15">
      <c r="A41" s="159"/>
      <c r="B41" s="159"/>
      <c r="C41" s="159"/>
      <c r="D41" s="159"/>
      <c r="E41" s="159"/>
      <c r="F41" s="159"/>
      <c r="G41" s="159"/>
      <c r="H41" s="159"/>
      <c r="I41" s="159"/>
    </row>
    <row r="42" spans="1:9" ht="15">
      <c r="A42" s="159"/>
      <c r="B42" s="159"/>
      <c r="C42" s="159"/>
      <c r="D42" s="159"/>
      <c r="E42" s="159"/>
      <c r="F42" s="159"/>
      <c r="G42" s="159"/>
      <c r="H42" s="159"/>
      <c r="I42" s="159"/>
    </row>
    <row r="43" spans="1:9" ht="15">
      <c r="A43" s="159"/>
      <c r="B43" s="159"/>
      <c r="C43" s="159"/>
      <c r="D43" s="159"/>
      <c r="E43" s="159"/>
      <c r="F43" s="159"/>
      <c r="G43" s="159"/>
      <c r="H43" s="159"/>
      <c r="I43" s="159"/>
    </row>
    <row r="44" spans="1:9" ht="15">
      <c r="A44" s="159"/>
      <c r="B44" s="159"/>
      <c r="C44" s="159"/>
      <c r="D44" s="159"/>
      <c r="E44" s="159"/>
      <c r="F44" s="159"/>
      <c r="G44" s="159"/>
      <c r="H44" s="159"/>
      <c r="I44" s="159"/>
    </row>
    <row r="45" spans="1:9" ht="15">
      <c r="A45" s="159"/>
      <c r="B45" s="159"/>
      <c r="C45" s="159"/>
      <c r="D45" s="159"/>
      <c r="E45" s="159"/>
      <c r="F45" s="159"/>
      <c r="G45" s="159"/>
      <c r="H45" s="159"/>
      <c r="I45" s="159"/>
    </row>
    <row r="46" spans="1:9" ht="15">
      <c r="A46" s="159"/>
      <c r="B46" s="159"/>
      <c r="C46" s="159"/>
      <c r="D46" s="159"/>
      <c r="E46" s="159"/>
      <c r="F46" s="159"/>
      <c r="G46" s="159"/>
      <c r="H46" s="159"/>
      <c r="I46" s="159"/>
    </row>
    <row r="47" spans="1:9" ht="15">
      <c r="A47" s="159"/>
      <c r="B47" s="159"/>
      <c r="C47" s="159"/>
      <c r="D47" s="159"/>
      <c r="E47" s="159"/>
      <c r="F47" s="159"/>
      <c r="G47" s="159"/>
      <c r="H47" s="159"/>
      <c r="I47" s="159"/>
    </row>
    <row r="48" spans="1:9" ht="15">
      <c r="A48" s="159"/>
      <c r="B48" s="159"/>
      <c r="C48" s="159"/>
      <c r="D48" s="159"/>
      <c r="E48" s="159"/>
      <c r="F48" s="159"/>
      <c r="G48" s="159"/>
      <c r="H48" s="159"/>
      <c r="I48" s="159"/>
    </row>
    <row r="49" spans="1:9" ht="15">
      <c r="A49" s="159"/>
      <c r="B49" s="159"/>
      <c r="C49" s="159"/>
      <c r="D49" s="159"/>
      <c r="E49" s="159"/>
      <c r="F49" s="159"/>
      <c r="G49" s="159"/>
      <c r="H49" s="159"/>
      <c r="I49" s="159"/>
    </row>
    <row r="50" spans="1:9" ht="15">
      <c r="A50" s="159"/>
      <c r="B50" s="159"/>
      <c r="C50" s="159"/>
      <c r="D50" s="159"/>
      <c r="E50" s="159"/>
      <c r="F50" s="159"/>
      <c r="G50" s="159"/>
      <c r="H50" s="159"/>
      <c r="I50" s="159"/>
    </row>
    <row r="51" spans="1:9" ht="15">
      <c r="A51" s="159"/>
      <c r="B51" s="159"/>
      <c r="C51" s="159"/>
      <c r="D51" s="159"/>
      <c r="E51" s="159"/>
      <c r="F51" s="159"/>
      <c r="G51" s="159"/>
      <c r="H51" s="159"/>
      <c r="I51" s="159"/>
    </row>
    <row r="52" spans="1:9" ht="15">
      <c r="A52" s="159"/>
      <c r="B52" s="159"/>
      <c r="C52" s="159"/>
      <c r="D52" s="159"/>
      <c r="E52" s="159"/>
      <c r="F52" s="159"/>
      <c r="G52" s="159"/>
      <c r="H52" s="159"/>
      <c r="I52" s="159"/>
    </row>
    <row r="53" spans="1:9" ht="15">
      <c r="A53" s="159"/>
      <c r="B53" s="159"/>
      <c r="C53" s="159"/>
      <c r="D53" s="159"/>
      <c r="E53" s="159"/>
      <c r="F53" s="159"/>
      <c r="G53" s="159"/>
      <c r="H53" s="159"/>
      <c r="I53" s="159"/>
    </row>
    <row r="54" spans="1:9" ht="15">
      <c r="A54" s="159"/>
      <c r="B54" s="159"/>
      <c r="C54" s="159"/>
      <c r="D54" s="159"/>
      <c r="E54" s="159"/>
      <c r="F54" s="159"/>
      <c r="G54" s="159"/>
      <c r="H54" s="159"/>
      <c r="I54" s="159"/>
    </row>
    <row r="55" spans="1:9" ht="15">
      <c r="A55" s="159"/>
      <c r="B55" s="159"/>
      <c r="C55" s="159"/>
      <c r="D55" s="159"/>
      <c r="E55" s="159"/>
      <c r="F55" s="159"/>
      <c r="G55" s="159"/>
      <c r="H55" s="159"/>
      <c r="I55" s="159"/>
    </row>
    <row r="56" spans="1:9" ht="15">
      <c r="A56" s="159"/>
      <c r="B56" s="159"/>
      <c r="C56" s="159"/>
      <c r="D56" s="159"/>
      <c r="E56" s="159"/>
      <c r="F56" s="159"/>
      <c r="G56" s="159"/>
      <c r="H56" s="159"/>
      <c r="I56" s="159"/>
    </row>
    <row r="57" spans="1:9" ht="15">
      <c r="A57" s="159"/>
      <c r="B57" s="159"/>
      <c r="C57" s="159"/>
      <c r="D57" s="159"/>
      <c r="E57" s="159"/>
      <c r="F57" s="159"/>
      <c r="G57" s="159"/>
      <c r="H57" s="159"/>
      <c r="I57" s="159"/>
    </row>
    <row r="58" spans="1:9" ht="15">
      <c r="A58" s="159"/>
      <c r="B58" s="159"/>
      <c r="C58" s="159"/>
      <c r="D58" s="159"/>
      <c r="E58" s="159"/>
      <c r="F58" s="159"/>
      <c r="G58" s="159"/>
      <c r="H58" s="159"/>
      <c r="I58" s="159"/>
    </row>
    <row r="59" spans="1:9" ht="15">
      <c r="A59" s="159"/>
      <c r="B59" s="159"/>
      <c r="C59" s="159"/>
      <c r="D59" s="159"/>
      <c r="E59" s="159"/>
      <c r="F59" s="159"/>
      <c r="G59" s="159"/>
      <c r="H59" s="159"/>
      <c r="I59" s="159"/>
    </row>
    <row r="60" spans="1:9" ht="15">
      <c r="A60" s="159"/>
      <c r="B60" s="159"/>
      <c r="C60" s="159"/>
      <c r="D60" s="159"/>
      <c r="E60" s="159"/>
      <c r="F60" s="159"/>
      <c r="G60" s="159"/>
      <c r="H60" s="159"/>
      <c r="I60" s="159"/>
    </row>
    <row r="61" spans="1:9" ht="15">
      <c r="A61" s="159"/>
      <c r="B61" s="159"/>
      <c r="C61" s="159"/>
      <c r="D61" s="159"/>
      <c r="E61" s="159"/>
      <c r="F61" s="159"/>
      <c r="G61" s="159"/>
      <c r="H61" s="159"/>
      <c r="I61" s="159"/>
    </row>
    <row r="62" spans="1:9" ht="15">
      <c r="A62" s="159"/>
      <c r="B62" s="159"/>
      <c r="C62" s="159"/>
      <c r="D62" s="159"/>
      <c r="E62" s="159"/>
      <c r="F62" s="159"/>
      <c r="G62" s="159"/>
      <c r="H62" s="159"/>
      <c r="I62" s="159"/>
    </row>
    <row r="63" spans="1:9" ht="15">
      <c r="A63" s="159"/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 ht="15">
      <c r="A65" s="159"/>
      <c r="B65" s="159"/>
      <c r="C65" s="159"/>
      <c r="D65" s="159"/>
      <c r="E65" s="159"/>
      <c r="F65" s="159"/>
      <c r="G65" s="159"/>
      <c r="H65" s="159"/>
      <c r="I65" s="159"/>
    </row>
    <row r="66" spans="1:9" ht="15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 ht="15">
      <c r="A67" s="159"/>
      <c r="B67" s="159"/>
      <c r="C67" s="159"/>
      <c r="D67" s="159"/>
      <c r="E67" s="159"/>
      <c r="F67" s="159"/>
      <c r="G67" s="159"/>
      <c r="H67" s="159"/>
      <c r="I67" s="159"/>
    </row>
    <row r="68" spans="1:9" ht="15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 ht="15">
      <c r="A69" s="159"/>
      <c r="B69" s="159"/>
      <c r="C69" s="159"/>
      <c r="D69" s="159"/>
      <c r="E69" s="159"/>
      <c r="F69" s="159"/>
      <c r="G69" s="159"/>
      <c r="H69" s="159"/>
      <c r="I69" s="159"/>
    </row>
    <row r="70" spans="1:9" ht="15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 ht="15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 ht="15">
      <c r="A72" s="159"/>
      <c r="B72" s="159"/>
      <c r="C72" s="159"/>
      <c r="D72" s="159"/>
      <c r="E72" s="159"/>
      <c r="F72" s="159"/>
      <c r="G72" s="159"/>
      <c r="H72" s="159"/>
      <c r="I72" s="159"/>
    </row>
    <row r="73" spans="1:9" ht="15">
      <c r="A73" s="159"/>
      <c r="B73" s="159"/>
      <c r="C73" s="159"/>
      <c r="D73" s="159"/>
      <c r="E73" s="159"/>
      <c r="F73" s="159"/>
      <c r="G73" s="159"/>
      <c r="H73" s="159"/>
      <c r="I73" s="159"/>
    </row>
    <row r="74" spans="1:9" ht="15">
      <c r="A74" s="159"/>
      <c r="B74" s="159"/>
      <c r="C74" s="159"/>
      <c r="D74" s="159"/>
      <c r="E74" s="159"/>
      <c r="F74" s="159"/>
      <c r="G74" s="159"/>
      <c r="H74" s="159"/>
      <c r="I74" s="159"/>
    </row>
    <row r="75" spans="1:9" ht="15">
      <c r="A75" s="159"/>
      <c r="B75" s="159"/>
      <c r="C75" s="159"/>
      <c r="D75" s="159"/>
      <c r="E75" s="159"/>
      <c r="F75" s="159"/>
      <c r="G75" s="159"/>
      <c r="H75" s="159"/>
      <c r="I75" s="159"/>
    </row>
    <row r="76" spans="1:9" ht="15">
      <c r="A76" s="159"/>
      <c r="B76" s="159"/>
      <c r="C76" s="159"/>
      <c r="D76" s="159"/>
      <c r="E76" s="159"/>
      <c r="F76" s="159"/>
      <c r="G76" s="159"/>
      <c r="H76" s="159"/>
      <c r="I76" s="159"/>
    </row>
    <row r="77" spans="1:9" ht="15">
      <c r="A77" s="159"/>
      <c r="B77" s="159"/>
      <c r="C77" s="159"/>
      <c r="D77" s="159"/>
      <c r="E77" s="159"/>
      <c r="F77" s="159"/>
      <c r="G77" s="159"/>
      <c r="H77" s="159"/>
      <c r="I77" s="159"/>
    </row>
    <row r="78" spans="1:9" ht="15">
      <c r="A78" s="159"/>
      <c r="B78" s="159"/>
      <c r="C78" s="159"/>
      <c r="D78" s="159"/>
      <c r="E78" s="159"/>
      <c r="F78" s="159"/>
      <c r="G78" s="159"/>
      <c r="H78" s="159"/>
      <c r="I78" s="159"/>
    </row>
    <row r="79" spans="1:9" ht="15">
      <c r="A79" s="159"/>
      <c r="B79" s="159"/>
      <c r="C79" s="159"/>
      <c r="D79" s="159"/>
      <c r="E79" s="159"/>
      <c r="F79" s="159"/>
      <c r="G79" s="159"/>
      <c r="H79" s="159"/>
      <c r="I79" s="159"/>
    </row>
    <row r="80" spans="1:9" ht="15">
      <c r="A80" s="159"/>
      <c r="B80" s="159"/>
      <c r="C80" s="159"/>
      <c r="D80" s="159"/>
      <c r="E80" s="159"/>
      <c r="F80" s="159"/>
      <c r="G80" s="159"/>
      <c r="H80" s="159"/>
      <c r="I80" s="159"/>
    </row>
    <row r="81" spans="1:9" ht="15">
      <c r="A81" s="159"/>
      <c r="B81" s="159"/>
      <c r="C81" s="159"/>
      <c r="D81" s="159"/>
      <c r="E81" s="159"/>
      <c r="F81" s="159"/>
      <c r="G81" s="159"/>
      <c r="H81" s="159"/>
      <c r="I81" s="159"/>
    </row>
    <row r="82" spans="1:9" ht="15">
      <c r="A82" s="159"/>
      <c r="B82" s="159"/>
      <c r="C82" s="159"/>
      <c r="D82" s="159"/>
      <c r="E82" s="159"/>
      <c r="F82" s="159"/>
      <c r="G82" s="159"/>
      <c r="H82" s="159"/>
      <c r="I82" s="159"/>
    </row>
    <row r="83" spans="1:9" ht="15">
      <c r="A83" s="159"/>
      <c r="B83" s="159"/>
      <c r="C83" s="159"/>
      <c r="D83" s="159"/>
      <c r="E83" s="159"/>
      <c r="F83" s="159"/>
      <c r="G83" s="159"/>
      <c r="H83" s="159"/>
      <c r="I83" s="159"/>
    </row>
    <row r="84" spans="1:9" ht="15">
      <c r="A84" s="159"/>
      <c r="B84" s="159"/>
      <c r="C84" s="159"/>
      <c r="D84" s="159"/>
      <c r="E84" s="159"/>
      <c r="F84" s="159"/>
      <c r="G84" s="159"/>
      <c r="H84" s="159"/>
      <c r="I84" s="159"/>
    </row>
    <row r="85" spans="1:9" ht="15">
      <c r="A85" s="159"/>
      <c r="B85" s="159"/>
      <c r="C85" s="159"/>
      <c r="D85" s="159"/>
      <c r="E85" s="159"/>
      <c r="F85" s="159"/>
      <c r="G85" s="159"/>
      <c r="H85" s="159"/>
      <c r="I85" s="159"/>
    </row>
    <row r="86" spans="1:9" ht="15">
      <c r="A86" s="159"/>
      <c r="B86" s="159"/>
      <c r="C86" s="159"/>
      <c r="D86" s="159"/>
      <c r="E86" s="159"/>
      <c r="F86" s="159"/>
      <c r="G86" s="159"/>
      <c r="H86" s="159"/>
      <c r="I86" s="159"/>
    </row>
    <row r="87" spans="1:9" ht="15">
      <c r="A87" s="159"/>
      <c r="B87" s="159"/>
      <c r="C87" s="159"/>
      <c r="D87" s="159"/>
      <c r="E87" s="159"/>
      <c r="F87" s="159"/>
      <c r="G87" s="159"/>
      <c r="H87" s="159"/>
      <c r="I87" s="159"/>
    </row>
    <row r="88" spans="1:9" ht="15">
      <c r="A88" s="159"/>
      <c r="B88" s="159"/>
      <c r="C88" s="159"/>
      <c r="D88" s="159"/>
      <c r="E88" s="159"/>
      <c r="F88" s="159"/>
      <c r="G88" s="159"/>
      <c r="H88" s="159"/>
      <c r="I88" s="159"/>
    </row>
    <row r="89" spans="1:9" ht="15">
      <c r="A89" s="159"/>
      <c r="B89" s="159"/>
      <c r="C89" s="159"/>
      <c r="D89" s="159"/>
      <c r="E89" s="159"/>
      <c r="F89" s="159"/>
      <c r="G89" s="159"/>
      <c r="H89" s="159"/>
      <c r="I89" s="159"/>
    </row>
    <row r="90" spans="1:9" ht="15">
      <c r="A90" s="159"/>
      <c r="B90" s="159"/>
      <c r="C90" s="159"/>
      <c r="D90" s="159"/>
      <c r="E90" s="159"/>
      <c r="F90" s="159"/>
      <c r="G90" s="159"/>
      <c r="H90" s="159"/>
      <c r="I90" s="159"/>
    </row>
    <row r="91" spans="1:9" ht="15">
      <c r="A91" s="159"/>
      <c r="B91" s="159"/>
      <c r="C91" s="159"/>
      <c r="D91" s="159"/>
      <c r="E91" s="159"/>
      <c r="F91" s="159"/>
      <c r="G91" s="159"/>
      <c r="H91" s="159"/>
      <c r="I91" s="159"/>
    </row>
    <row r="92" spans="1:9" ht="15">
      <c r="A92" s="159"/>
      <c r="B92" s="159"/>
      <c r="C92" s="159"/>
      <c r="D92" s="159"/>
      <c r="E92" s="159"/>
      <c r="F92" s="159"/>
      <c r="G92" s="159"/>
      <c r="H92" s="159"/>
      <c r="I92" s="159"/>
    </row>
    <row r="93" spans="1:9" ht="15">
      <c r="A93" s="159"/>
      <c r="B93" s="159"/>
      <c r="C93" s="159"/>
      <c r="D93" s="159"/>
      <c r="E93" s="159"/>
      <c r="F93" s="159"/>
      <c r="G93" s="159"/>
      <c r="H93" s="159"/>
      <c r="I93" s="159"/>
    </row>
    <row r="94" spans="1:9" ht="15">
      <c r="A94" s="159"/>
      <c r="B94" s="159"/>
      <c r="C94" s="159"/>
      <c r="D94" s="159"/>
      <c r="E94" s="159"/>
      <c r="F94" s="159"/>
      <c r="G94" s="159"/>
      <c r="H94" s="159"/>
      <c r="I94" s="159"/>
    </row>
    <row r="95" spans="1:9" ht="15">
      <c r="A95" s="159"/>
      <c r="B95" s="159"/>
      <c r="C95" s="159"/>
      <c r="D95" s="159"/>
      <c r="E95" s="159"/>
      <c r="F95" s="159"/>
      <c r="G95" s="159"/>
      <c r="H95" s="159"/>
      <c r="I95" s="159"/>
    </row>
    <row r="96" spans="1:9" ht="15">
      <c r="A96" s="159"/>
      <c r="B96" s="159"/>
      <c r="C96" s="159"/>
      <c r="D96" s="159"/>
      <c r="E96" s="159"/>
      <c r="F96" s="159"/>
      <c r="G96" s="159"/>
      <c r="H96" s="159"/>
      <c r="I96" s="159"/>
    </row>
    <row r="97" spans="1:9" ht="15">
      <c r="A97" s="159"/>
      <c r="B97" s="159"/>
      <c r="C97" s="159"/>
      <c r="D97" s="159"/>
      <c r="E97" s="159"/>
      <c r="F97" s="159"/>
      <c r="G97" s="159"/>
      <c r="H97" s="159"/>
      <c r="I97" s="159"/>
    </row>
    <row r="98" spans="1:9" ht="15">
      <c r="A98" s="159"/>
      <c r="B98" s="159"/>
      <c r="C98" s="159"/>
      <c r="D98" s="159"/>
      <c r="E98" s="159"/>
      <c r="F98" s="159"/>
      <c r="G98" s="159"/>
      <c r="H98" s="159"/>
      <c r="I98" s="159"/>
    </row>
    <row r="99" spans="1:9" ht="15">
      <c r="A99" s="159"/>
      <c r="B99" s="159"/>
      <c r="C99" s="159"/>
      <c r="D99" s="159"/>
      <c r="E99" s="159"/>
      <c r="F99" s="159"/>
      <c r="G99" s="159"/>
      <c r="H99" s="159"/>
      <c r="I99" s="159"/>
    </row>
    <row r="100" spans="1:9" ht="15">
      <c r="A100" s="159"/>
      <c r="B100" s="159"/>
      <c r="C100" s="159"/>
      <c r="D100" s="159"/>
      <c r="E100" s="159"/>
      <c r="F100" s="159"/>
      <c r="G100" s="159"/>
      <c r="H100" s="159"/>
      <c r="I100" s="159"/>
    </row>
    <row r="101" spans="1:9" ht="15">
      <c r="A101" s="159"/>
      <c r="B101" s="159"/>
      <c r="C101" s="159"/>
      <c r="D101" s="159"/>
      <c r="E101" s="159"/>
      <c r="F101" s="159"/>
      <c r="G101" s="159"/>
      <c r="H101" s="159"/>
      <c r="I101" s="159"/>
    </row>
    <row r="102" spans="1:9" ht="15">
      <c r="A102" s="159"/>
      <c r="B102" s="159"/>
      <c r="C102" s="159"/>
      <c r="D102" s="159"/>
      <c r="E102" s="159"/>
      <c r="F102" s="159"/>
      <c r="G102" s="159"/>
      <c r="H102" s="159"/>
      <c r="I102" s="159"/>
    </row>
    <row r="103" spans="1:9" ht="15">
      <c r="A103" s="159"/>
      <c r="B103" s="159"/>
      <c r="C103" s="159"/>
      <c r="D103" s="159"/>
      <c r="E103" s="159"/>
      <c r="F103" s="159"/>
      <c r="G103" s="159"/>
      <c r="H103" s="159"/>
      <c r="I103" s="159"/>
    </row>
    <row r="104" spans="1:9" ht="15">
      <c r="A104" s="159"/>
      <c r="B104" s="159"/>
      <c r="C104" s="159"/>
      <c r="D104" s="159"/>
      <c r="E104" s="159"/>
      <c r="F104" s="159"/>
      <c r="G104" s="159"/>
      <c r="H104" s="159"/>
      <c r="I104" s="159"/>
    </row>
    <row r="105" spans="1:9" ht="15">
      <c r="A105" s="159"/>
      <c r="B105" s="159"/>
      <c r="C105" s="159"/>
      <c r="D105" s="159"/>
      <c r="E105" s="159"/>
      <c r="F105" s="159"/>
      <c r="G105" s="159"/>
      <c r="H105" s="159"/>
      <c r="I105" s="159"/>
    </row>
    <row r="106" spans="1:9" ht="15">
      <c r="A106" s="159"/>
      <c r="B106" s="159"/>
      <c r="C106" s="159"/>
      <c r="D106" s="159"/>
      <c r="E106" s="159"/>
      <c r="F106" s="159"/>
      <c r="G106" s="159"/>
      <c r="H106" s="159"/>
      <c r="I106" s="159"/>
    </row>
    <row r="107" spans="1:9" ht="15">
      <c r="A107" s="159"/>
      <c r="B107" s="159"/>
      <c r="C107" s="159"/>
      <c r="D107" s="159"/>
      <c r="E107" s="159"/>
      <c r="F107" s="159"/>
      <c r="G107" s="159"/>
      <c r="H107" s="159"/>
      <c r="I107" s="159"/>
    </row>
    <row r="108" spans="1:9" ht="15">
      <c r="A108" s="159"/>
      <c r="B108" s="159"/>
      <c r="C108" s="159"/>
      <c r="D108" s="159"/>
      <c r="E108" s="159"/>
      <c r="F108" s="159"/>
      <c r="G108" s="159"/>
      <c r="H108" s="159"/>
      <c r="I108" s="159"/>
    </row>
    <row r="109" spans="1:9" ht="15">
      <c r="A109" s="159"/>
      <c r="B109" s="159"/>
      <c r="C109" s="159"/>
      <c r="D109" s="159"/>
      <c r="E109" s="159"/>
      <c r="F109" s="159"/>
      <c r="G109" s="159"/>
      <c r="H109" s="159"/>
      <c r="I109" s="159"/>
    </row>
    <row r="110" spans="1:9" ht="15">
      <c r="A110" s="159"/>
      <c r="B110" s="159"/>
      <c r="C110" s="159"/>
      <c r="D110" s="159"/>
      <c r="E110" s="159"/>
      <c r="F110" s="159"/>
      <c r="G110" s="159"/>
      <c r="H110" s="159"/>
      <c r="I110" s="159"/>
    </row>
    <row r="111" spans="1:9" ht="15">
      <c r="A111" s="159"/>
      <c r="B111" s="159"/>
      <c r="C111" s="159"/>
      <c r="D111" s="159"/>
      <c r="E111" s="159"/>
      <c r="F111" s="159"/>
      <c r="G111" s="159"/>
      <c r="H111" s="159"/>
      <c r="I111" s="159"/>
    </row>
    <row r="112" spans="1:9" ht="15">
      <c r="A112" s="159"/>
      <c r="B112" s="159"/>
      <c r="C112" s="159"/>
      <c r="D112" s="159"/>
      <c r="E112" s="159"/>
      <c r="F112" s="159"/>
      <c r="G112" s="159"/>
      <c r="H112" s="159"/>
      <c r="I112" s="159"/>
    </row>
    <row r="113" spans="1:9" ht="15">
      <c r="A113" s="159"/>
      <c r="B113" s="159"/>
      <c r="C113" s="159"/>
      <c r="D113" s="159"/>
      <c r="E113" s="159"/>
      <c r="F113" s="159"/>
      <c r="G113" s="159"/>
      <c r="H113" s="159"/>
      <c r="I113" s="159"/>
    </row>
    <row r="114" spans="1:9" ht="15">
      <c r="A114" s="159"/>
      <c r="B114" s="159"/>
      <c r="C114" s="159"/>
      <c r="D114" s="159"/>
      <c r="E114" s="159"/>
      <c r="F114" s="159"/>
      <c r="G114" s="159"/>
      <c r="H114" s="159"/>
      <c r="I114" s="159"/>
    </row>
    <row r="115" spans="1:9" ht="15">
      <c r="A115" s="159"/>
      <c r="B115" s="159"/>
      <c r="C115" s="159"/>
      <c r="D115" s="159"/>
      <c r="E115" s="159"/>
      <c r="F115" s="159"/>
      <c r="G115" s="159"/>
      <c r="H115" s="159"/>
      <c r="I115" s="159"/>
    </row>
    <row r="116" spans="1:9" ht="15">
      <c r="A116" s="159"/>
      <c r="B116" s="159"/>
      <c r="C116" s="159"/>
      <c r="D116" s="159"/>
      <c r="E116" s="159"/>
      <c r="F116" s="159"/>
      <c r="G116" s="159"/>
      <c r="H116" s="159"/>
      <c r="I116" s="159"/>
    </row>
    <row r="117" spans="1:9" ht="15">
      <c r="A117" s="159"/>
      <c r="B117" s="159"/>
      <c r="C117" s="159"/>
      <c r="D117" s="159"/>
      <c r="E117" s="159"/>
      <c r="F117" s="159"/>
      <c r="G117" s="159"/>
      <c r="H117" s="159"/>
      <c r="I117" s="159"/>
    </row>
    <row r="118" spans="1:9" ht="15">
      <c r="A118" s="159"/>
      <c r="B118" s="159"/>
      <c r="C118" s="159"/>
      <c r="D118" s="159"/>
      <c r="E118" s="159"/>
      <c r="F118" s="159"/>
      <c r="G118" s="159"/>
      <c r="H118" s="159"/>
      <c r="I118" s="159"/>
    </row>
    <row r="119" spans="1:9" ht="15">
      <c r="A119" s="159"/>
      <c r="B119" s="159"/>
      <c r="C119" s="159"/>
      <c r="D119" s="159"/>
      <c r="E119" s="159"/>
      <c r="F119" s="159"/>
      <c r="G119" s="159"/>
      <c r="H119" s="159"/>
      <c r="I119" s="159"/>
    </row>
    <row r="120" spans="1:9" ht="15">
      <c r="A120" s="159"/>
      <c r="B120" s="159"/>
      <c r="C120" s="159"/>
      <c r="D120" s="159"/>
      <c r="E120" s="159"/>
      <c r="F120" s="159"/>
      <c r="G120" s="159"/>
      <c r="H120" s="159"/>
      <c r="I120" s="159"/>
    </row>
    <row r="121" spans="1:9" ht="15">
      <c r="A121" s="159"/>
      <c r="B121" s="159"/>
      <c r="C121" s="159"/>
      <c r="D121" s="159"/>
      <c r="E121" s="159"/>
      <c r="F121" s="159"/>
      <c r="G121" s="159"/>
      <c r="H121" s="159"/>
      <c r="I121" s="159"/>
    </row>
    <row r="122" spans="1:9" ht="15">
      <c r="A122" s="159"/>
      <c r="B122" s="159"/>
      <c r="C122" s="159"/>
      <c r="D122" s="159"/>
      <c r="E122" s="159"/>
      <c r="F122" s="159"/>
      <c r="G122" s="159"/>
      <c r="H122" s="159"/>
      <c r="I122" s="159"/>
    </row>
  </sheetData>
  <sheetProtection/>
  <mergeCells count="4">
    <mergeCell ref="A1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AEDE</cp:lastModifiedBy>
  <cp:lastPrinted>2008-12-02T18:40:43Z</cp:lastPrinted>
  <dcterms:created xsi:type="dcterms:W3CDTF">2002-12-27T15:34:03Z</dcterms:created>
  <dcterms:modified xsi:type="dcterms:W3CDTF">2009-01-23T00:40:11Z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