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se.14\Documents\website\AgLaw\FarmManagement\EnterpriseBudgets\"/>
    </mc:Choice>
  </mc:AlternateContent>
  <bookViews>
    <workbookView xWindow="0" yWindow="0" windowWidth="19200" windowHeight="8590"/>
  </bookViews>
  <sheets>
    <sheet name="corn-cons" sheetId="1" r:id="rId1"/>
    <sheet name="machinery costs" sheetId="2" r:id="rId2"/>
    <sheet name="Quick Stats" sheetId="3" r:id="rId3"/>
    <sheet name="QuickStats Totals" sheetId="4" r:id="rId4"/>
  </sheets>
  <definedNames>
    <definedName name="_xlnm.Print_Area" localSheetId="0">'corn-cons'!$A$1:$N$130</definedName>
    <definedName name="_xlnm.Print_Area" localSheetId="1">'machinery costs'!$A$1:$K$15</definedName>
  </definedNames>
  <calcPr calcId="152511"/>
</workbook>
</file>

<file path=xl/calcChain.xml><?xml version="1.0" encoding="utf-8"?>
<calcChain xmlns="http://schemas.openxmlformats.org/spreadsheetml/2006/main">
  <c r="H22" i="1" l="1"/>
  <c r="G22" i="1"/>
  <c r="F22" i="1"/>
  <c r="E22" i="1"/>
  <c r="D5" i="4"/>
  <c r="I4" i="4"/>
  <c r="G4" i="4"/>
  <c r="I18" i="3"/>
  <c r="G18" i="3"/>
  <c r="M106" i="1"/>
  <c r="K104" i="1"/>
  <c r="M104" i="1"/>
  <c r="M103" i="1"/>
  <c r="M102" i="1"/>
  <c r="M101" i="1"/>
  <c r="I29" i="1"/>
  <c r="L29" i="1"/>
  <c r="K106" i="1"/>
  <c r="L106" i="1"/>
  <c r="L110" i="1"/>
  <c r="K110" i="1"/>
  <c r="K107" i="1"/>
  <c r="L107" i="1"/>
  <c r="M107" i="1"/>
  <c r="K108" i="1"/>
  <c r="L108" i="1"/>
  <c r="L105" i="1"/>
  <c r="M105" i="1"/>
  <c r="K113" i="1"/>
  <c r="K103" i="1"/>
  <c r="K102" i="1"/>
  <c r="K101" i="1"/>
  <c r="K114" i="1"/>
  <c r="K115" i="1"/>
  <c r="N30" i="1"/>
  <c r="M30" i="1"/>
  <c r="L30" i="1"/>
  <c r="K30" i="1"/>
  <c r="E11" i="2"/>
  <c r="D11" i="2"/>
  <c r="E13" i="2"/>
  <c r="D13" i="2"/>
  <c r="F13" i="2"/>
  <c r="G4" i="3"/>
  <c r="I4" i="3"/>
  <c r="D5" i="3"/>
  <c r="I12" i="3"/>
  <c r="G12" i="3"/>
  <c r="D13" i="3"/>
  <c r="D11" i="3"/>
  <c r="D10" i="3"/>
  <c r="D9" i="3"/>
  <c r="D8" i="3"/>
  <c r="L101" i="1"/>
  <c r="E3" i="2"/>
  <c r="D3" i="2"/>
  <c r="E4" i="2"/>
  <c r="E5" i="2"/>
  <c r="D5" i="2"/>
  <c r="H5" i="2"/>
  <c r="E6" i="2"/>
  <c r="D6" i="2"/>
  <c r="G6" i="2"/>
  <c r="E7" i="2"/>
  <c r="D7" i="2"/>
  <c r="E8" i="2"/>
  <c r="D8" i="2"/>
  <c r="E9" i="2"/>
  <c r="D9" i="2"/>
  <c r="E10" i="2"/>
  <c r="D10" i="2"/>
  <c r="E12" i="2"/>
  <c r="D12" i="2"/>
  <c r="E14" i="2"/>
  <c r="D14" i="2"/>
  <c r="F14" i="2"/>
  <c r="E2" i="2"/>
  <c r="D2" i="2"/>
  <c r="F2" i="2"/>
  <c r="L103" i="1"/>
  <c r="L102" i="1"/>
  <c r="L104" i="1"/>
  <c r="H24" i="1"/>
  <c r="G24" i="1"/>
  <c r="F24" i="1"/>
  <c r="E24" i="1"/>
  <c r="I24" i="1"/>
  <c r="K24" i="1"/>
  <c r="I22" i="1"/>
  <c r="K22" i="1"/>
  <c r="I23" i="1"/>
  <c r="L23" i="1"/>
  <c r="G10" i="3"/>
  <c r="N10" i="1"/>
  <c r="N15" i="1"/>
  <c r="N42" i="1"/>
  <c r="H23" i="1"/>
  <c r="I18" i="1"/>
  <c r="M18" i="1"/>
  <c r="N25" i="1"/>
  <c r="M10" i="1"/>
  <c r="I5" i="4"/>
  <c r="M42" i="1"/>
  <c r="G23" i="1"/>
  <c r="M25" i="1"/>
  <c r="L10" i="1"/>
  <c r="L15" i="1"/>
  <c r="G5" i="3"/>
  <c r="L42" i="1"/>
  <c r="F23" i="1"/>
  <c r="L25" i="1"/>
  <c r="K10" i="1"/>
  <c r="K15" i="1"/>
  <c r="K43" i="1"/>
  <c r="K42" i="1"/>
  <c r="E23" i="1"/>
  <c r="K25" i="1"/>
  <c r="N24" i="1"/>
  <c r="M23" i="1"/>
  <c r="I10" i="3"/>
  <c r="N29" i="1"/>
  <c r="G5" i="4"/>
  <c r="L112" i="1"/>
  <c r="M112" i="1"/>
  <c r="I5" i="3"/>
  <c r="L43" i="1"/>
  <c r="K23" i="1"/>
  <c r="M22" i="1"/>
  <c r="I9" i="3"/>
  <c r="K31" i="1"/>
  <c r="M31" i="1"/>
  <c r="I13" i="3"/>
  <c r="N31" i="1"/>
  <c r="L31" i="1"/>
  <c r="G13" i="3"/>
  <c r="M115" i="1"/>
  <c r="I8" i="3"/>
  <c r="L111" i="1"/>
  <c r="M111" i="1"/>
  <c r="G16" i="3"/>
  <c r="N23" i="1"/>
  <c r="K29" i="1"/>
  <c r="N22" i="1"/>
  <c r="N18" i="1"/>
  <c r="L18" i="1"/>
  <c r="K18" i="1"/>
  <c r="L24" i="1"/>
  <c r="G11" i="3"/>
  <c r="M29" i="1"/>
  <c r="L22" i="1"/>
  <c r="G9" i="3"/>
  <c r="M15" i="1"/>
  <c r="M24" i="1"/>
  <c r="I11" i="3"/>
  <c r="N43" i="1"/>
  <c r="F10" i="2"/>
  <c r="H10" i="2"/>
  <c r="F7" i="2"/>
  <c r="G7" i="2"/>
  <c r="G5" i="2"/>
  <c r="H2" i="2"/>
  <c r="H13" i="2"/>
  <c r="G9" i="2"/>
  <c r="F9" i="2"/>
  <c r="F5" i="2"/>
  <c r="G2" i="2"/>
  <c r="F6" i="2"/>
  <c r="H6" i="2"/>
  <c r="H7" i="2"/>
  <c r="D4" i="2"/>
  <c r="F12" i="2"/>
  <c r="H12" i="2"/>
  <c r="G12" i="2"/>
  <c r="G11" i="2"/>
  <c r="F11" i="2"/>
  <c r="H11" i="2"/>
  <c r="G8" i="2"/>
  <c r="H8" i="2"/>
  <c r="F8" i="2"/>
  <c r="G3" i="2"/>
  <c r="F3" i="2"/>
  <c r="H3" i="2"/>
  <c r="E15" i="2"/>
  <c r="G10" i="2"/>
  <c r="H14" i="2"/>
  <c r="H9" i="2"/>
  <c r="G13" i="2"/>
  <c r="G14" i="2"/>
  <c r="M43" i="1"/>
  <c r="I16" i="3"/>
  <c r="L38" i="1"/>
  <c r="G8" i="3"/>
  <c r="L32" i="1"/>
  <c r="K32" i="1"/>
  <c r="K38" i="1"/>
  <c r="N32" i="1"/>
  <c r="N38" i="1"/>
  <c r="M32" i="1"/>
  <c r="M35" i="1"/>
  <c r="I2" i="2"/>
  <c r="K2" i="2"/>
  <c r="N35" i="1"/>
  <c r="K35" i="1"/>
  <c r="L35" i="1"/>
  <c r="I13" i="2"/>
  <c r="K13" i="2"/>
  <c r="I112" i="1"/>
  <c r="I6" i="2"/>
  <c r="K6" i="2"/>
  <c r="I105" i="1"/>
  <c r="I10" i="2"/>
  <c r="K10" i="2"/>
  <c r="I109" i="1"/>
  <c r="I12" i="2"/>
  <c r="K12" i="2"/>
  <c r="I111" i="1"/>
  <c r="I5" i="2"/>
  <c r="K5" i="2"/>
  <c r="I104" i="1"/>
  <c r="I9" i="2"/>
  <c r="K9" i="2"/>
  <c r="I108" i="1"/>
  <c r="I3" i="2"/>
  <c r="K3" i="2"/>
  <c r="I102" i="1"/>
  <c r="I7" i="2"/>
  <c r="K7" i="2"/>
  <c r="I106" i="1"/>
  <c r="I11" i="2"/>
  <c r="K11" i="2"/>
  <c r="I110" i="1"/>
  <c r="G4" i="2"/>
  <c r="G15" i="2"/>
  <c r="H4" i="2"/>
  <c r="H15" i="2"/>
  <c r="F4" i="2"/>
  <c r="F15" i="2"/>
  <c r="I14" i="2"/>
  <c r="K14" i="2"/>
  <c r="I113" i="1"/>
  <c r="I8" i="2"/>
  <c r="K8" i="2"/>
  <c r="I107" i="1"/>
  <c r="I101" i="1"/>
  <c r="N39" i="1"/>
  <c r="N53" i="1"/>
  <c r="N54" i="1"/>
  <c r="K39" i="1"/>
  <c r="K53" i="1"/>
  <c r="K54" i="1"/>
  <c r="L39" i="1"/>
  <c r="G8" i="4"/>
  <c r="L54" i="1"/>
  <c r="G17" i="4"/>
  <c r="G14" i="3"/>
  <c r="G9" i="4"/>
  <c r="L53" i="1"/>
  <c r="G16" i="4"/>
  <c r="M38" i="1"/>
  <c r="I4" i="2"/>
  <c r="M39" i="1"/>
  <c r="I8" i="4"/>
  <c r="I14" i="3"/>
  <c r="I9" i="4"/>
  <c r="M53" i="1"/>
  <c r="I16" i="4"/>
  <c r="M54" i="1"/>
  <c r="I17" i="4"/>
  <c r="K4" i="2"/>
  <c r="I15" i="2"/>
  <c r="I103" i="1"/>
  <c r="I115" i="1"/>
  <c r="K15" i="2"/>
  <c r="M44" i="1"/>
  <c r="N44" i="1"/>
  <c r="N48" i="1"/>
  <c r="N50" i="1"/>
  <c r="L44" i="1"/>
  <c r="K44" i="1"/>
  <c r="K48" i="1"/>
  <c r="K50" i="1"/>
  <c r="G17" i="3"/>
  <c r="L48" i="1"/>
  <c r="N55" i="1"/>
  <c r="N51" i="1"/>
  <c r="M48" i="1"/>
  <c r="I17" i="3"/>
  <c r="K51" i="1"/>
  <c r="K55" i="1"/>
  <c r="N56" i="1"/>
  <c r="N57" i="1"/>
  <c r="N58" i="1"/>
  <c r="G11" i="4"/>
  <c r="L50" i="1"/>
  <c r="M50" i="1"/>
  <c r="I11" i="4"/>
  <c r="K58" i="1"/>
  <c r="K57" i="1"/>
  <c r="K56" i="1"/>
  <c r="I13" i="4"/>
  <c r="M51" i="1"/>
  <c r="M55" i="1"/>
  <c r="L51" i="1"/>
  <c r="G13" i="4"/>
  <c r="L55" i="1"/>
  <c r="I21" i="3"/>
  <c r="M58" i="1"/>
  <c r="I21" i="4"/>
  <c r="I18" i="4"/>
  <c r="M56" i="1"/>
  <c r="M57" i="1"/>
  <c r="I20" i="4"/>
  <c r="G21" i="3"/>
  <c r="L57" i="1"/>
  <c r="G20" i="4"/>
  <c r="G18" i="4"/>
  <c r="L58" i="1"/>
  <c r="G21" i="4"/>
  <c r="L56" i="1"/>
  <c r="I19" i="3"/>
  <c r="I14" i="4"/>
  <c r="G14" i="4"/>
  <c r="G19" i="3"/>
  <c r="G22" i="3"/>
  <c r="G19" i="4"/>
  <c r="I19" i="4"/>
  <c r="I22" i="3"/>
</calcChain>
</file>

<file path=xl/sharedStrings.xml><?xml version="1.0" encoding="utf-8"?>
<sst xmlns="http://schemas.openxmlformats.org/spreadsheetml/2006/main" count="244" uniqueCount="195">
  <si>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</si>
  <si>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</si>
  <si>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</si>
  <si>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</si>
  <si>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</si>
  <si>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</si>
  <si>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</si>
  <si>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</si>
  <si>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</si>
  <si>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</si>
  <si>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</si>
  <si>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</si>
  <si>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</si>
  <si>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</si>
  <si>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</si>
  <si>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</si>
  <si>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</si>
  <si>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</si>
  <si>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</si>
  <si>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</si>
  <si>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</si>
  <si>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</si>
  <si>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</si>
  <si>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</si>
  <si>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</si>
  <si>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</si>
  <si>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</si>
  <si>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</si>
  <si>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>Machinery Inventory</t>
  </si>
  <si>
    <t>Number times used</t>
  </si>
  <si>
    <t>Repairs ($/A)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</si>
  <si>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</si>
  <si>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</si>
  <si>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</si>
  <si>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</si>
  <si>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</si>
  <si>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</si>
  <si>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</si>
  <si>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 xml:space="preserve">Machines are all assumed to be new and in the first year of use (Except for Semi Tractor Trailer and Pickup Truck). </t>
  </si>
  <si>
    <t>TOTAL RECEIPTS</t>
  </si>
  <si>
    <t>Fuel*        (gal/A)</t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</si>
  <si>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</si>
  <si>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</si>
  <si>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</si>
  <si>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***</t>
  </si>
  <si>
    <t>***Fuel for Semi is included in Budget as Trucking - Fuel Only</t>
  </si>
  <si>
    <t>Fuel</t>
  </si>
  <si>
    <t>F&amp;L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</si>
  <si>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</si>
  <si>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</si>
  <si>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</si>
  <si>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</si>
  <si>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</si>
  <si>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</si>
  <si>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</si>
  <si>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</si>
  <si>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/gal LP</t>
  </si>
  <si>
    <t>PROD.</t>
  </si>
  <si>
    <t>NUMBERS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</si>
  <si>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</si>
  <si>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</si>
  <si>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</si>
  <si>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</si>
  <si>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</si>
  <si>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</si>
  <si>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</si>
  <si>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</si>
  <si>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</si>
  <si>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</si>
  <si>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</si>
  <si>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</si>
  <si>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</si>
  <si>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</si>
  <si>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</si>
  <si>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t xml:space="preserve"> 6.0% Interest on Average Value, 0.5% Insurance Cost on Average Value and 1.0% Housing Cost on Average Value.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</si>
  <si>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</si>
  <si>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</si>
  <si>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</si>
  <si>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</si>
  <si>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</si>
  <si>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</si>
  <si>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</si>
  <si>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</si>
  <si>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</si>
  <si>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</si>
  <si>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</si>
  <si>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Assumes NH3(82-0-0):</t>
  </si>
  <si>
    <t>/ton     MAP(11-52-0):</t>
  </si>
  <si>
    <t>/ton     Potash(0-0-60):</t>
  </si>
  <si>
    <t xml:space="preserve"> Conservation Tillage Practices: N-Source - NH3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</si>
  <si>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</si>
  <si>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</si>
  <si>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</si>
  <si>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</si>
  <si>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</si>
  <si>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</si>
  <si>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</si>
  <si>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</si>
  <si>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</si>
  <si>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</si>
  <si>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Hours/ Year</t>
  </si>
  <si>
    <t>Acres/Year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</si>
  <si>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</si>
  <si>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</si>
  <si>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</si>
  <si>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</si>
  <si>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</si>
  <si>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</si>
  <si>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</si>
  <si>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</si>
  <si>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</si>
  <si>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</si>
  <si>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</si>
  <si>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</si>
  <si>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</si>
  <si>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</si>
  <si>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</si>
  <si>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</si>
  <si>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</si>
  <si>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</si>
  <si>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Labor and Management</t>
  </si>
  <si>
    <t>/gal Diesel</t>
  </si>
  <si>
    <t>miles</t>
  </si>
  <si>
    <t>2 Semi Tractor/Trailers**</t>
  </si>
  <si>
    <t>Grain Cart</t>
  </si>
  <si>
    <t>Interest on all variable costs, except drying and trucking</t>
  </si>
  <si>
    <t>Land charges vary throughout the state, check your local rates.</t>
  </si>
  <si>
    <t>Anhydrous Applic. 32.5'</t>
  </si>
  <si>
    <t>37 ft. Chisel Plow</t>
  </si>
  <si>
    <t>Boom Sprayer, Self Prop.</t>
  </si>
  <si>
    <t>310 HP Tractor</t>
  </si>
  <si>
    <t>Combine 340 HP</t>
  </si>
  <si>
    <t>Reflects 2000 acres, Conservation Tillage Corn/No-Till RR Soybeans</t>
  </si>
  <si>
    <t>The "machinery cost" tab (next tab at the bottom of this worksheet) shows details of "Machinery and Equipment Charge per Acre".</t>
  </si>
  <si>
    <t>RETURN TO LAND, LABOR AND MANAGEMENT</t>
  </si>
  <si>
    <t>Grower or Market Premium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</si>
  <si>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</si>
  <si>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</si>
  <si>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</si>
  <si>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</si>
  <si>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</si>
  <si>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</si>
  <si>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</si>
  <si>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 xml:space="preserve">Prepared by: Barry Ward, Leader, Production Business Management; Peter Thomison, Extension Corn Specialist, </t>
  </si>
  <si>
    <t>Combine 440 HP</t>
  </si>
  <si>
    <t>Based on use of: fall applied Basis plus 2,4-D, preplant Cinch ATZ plus Instigate, post glyphosate (with adjuvant and AMS).</t>
  </si>
  <si>
    <t>RETURN ABOVE VARIABLE AND LAND COSTS</t>
  </si>
  <si>
    <t>Pickup Truck (1/2)</t>
  </si>
  <si>
    <t>Starter Fertilizer</t>
  </si>
  <si>
    <t>Mark Loux, Extension Specialist, Weed Management in Field Crops</t>
  </si>
  <si>
    <t>CORN SELECTED BUDGET STATS - 2015</t>
  </si>
  <si>
    <t>Seed price based on traited seed corn, 80,000 kernels/bag.</t>
  </si>
  <si>
    <t xml:space="preserve">Fertilizer prices vary over time and by area.  Check with local sources for current prices. </t>
  </si>
  <si>
    <t>See table below for specific calculations.  Lubrication costs are assumed to be 10% of fuel costs</t>
  </si>
  <si>
    <t>Trucking based on 900 bushel loads, 6 mpg, oil and lube at 10% of fuel cost, Enter on-road diesel price and total miles trucked</t>
  </si>
  <si>
    <t>Average based on "Ohio Cropland Values and Cash Rents" factsheet: http://aede.osu.edu/research/osu-farm-management</t>
  </si>
  <si>
    <t>Management Charge is calculated as 5% of total receipts.</t>
  </si>
  <si>
    <t>CORN PRODUCTION BUDGET- 2015</t>
  </si>
  <si>
    <t>Crop Insurance Indemnity</t>
  </si>
  <si>
    <t>Breakeven Cost / Bu</t>
  </si>
  <si>
    <t>Total Variable Costs</t>
  </si>
  <si>
    <t>Toptal Fixed Costs</t>
  </si>
  <si>
    <t>Total Costs</t>
  </si>
  <si>
    <t>Variable Costs / Bu</t>
  </si>
  <si>
    <t>Return Above Variable Costs</t>
  </si>
  <si>
    <t>Return Above Variable  and Land Costs</t>
  </si>
  <si>
    <t>Return Above Total Costs</t>
  </si>
  <si>
    <t>Return to Labor and Management</t>
  </si>
  <si>
    <t>Return to Land, Labor and Management</t>
  </si>
  <si>
    <t>and soil test values of 25 ppm P/A and 125 ppm K/A.</t>
  </si>
  <si>
    <t>5/10/2015</t>
  </si>
  <si>
    <t>Crop Insurance: Revenue Protection (with Trend Adjusted Yield Endorsement), Basic (without SCO), 75% coverage level.</t>
  </si>
  <si>
    <t>Price is based on current December Futures less $0.20 basis</t>
  </si>
  <si>
    <t>Drying costs are based on 5% moisture removed (0.02 gal of LP per % point of moisture removed).</t>
  </si>
  <si>
    <r>
      <t>ARC/PLC Payment</t>
    </r>
    <r>
      <rPr>
        <vertAlign val="superscript"/>
        <sz val="10"/>
        <rFont val="Arial"/>
        <family val="2"/>
      </rPr>
      <t>2</t>
    </r>
  </si>
  <si>
    <t xml:space="preserve">Includes marketing, farm insurance, dues and professional fees, supplies, utilities, soil tests, small tools, </t>
  </si>
  <si>
    <t>software/hardware, transport of supplies and equipment, etc…</t>
  </si>
  <si>
    <t xml:space="preserve">Part or all of labor may be a variable cost if paid labor varies with acres farmed.  </t>
  </si>
  <si>
    <t>Labor is considered a fixed cost if labor costs do not change with acres farmed.</t>
  </si>
  <si>
    <r>
      <t>Labor Charge</t>
    </r>
    <r>
      <rPr>
        <vertAlign val="superscript"/>
        <sz val="10"/>
        <rFont val="Arial"/>
        <family val="2"/>
      </rPr>
      <t xml:space="preserve"> 13</t>
    </r>
  </si>
  <si>
    <t xml:space="preserve">Machinery and Equipment Charge Reflects 2000 acres, conservation tillage corn/no-till RR soybean rotation. </t>
  </si>
  <si>
    <t>Return to Land equals total receipts minus total costs except land costs.</t>
  </si>
  <si>
    <t>Return Above Variable and Land Costs equals total receipts minus total variable and land costs.</t>
  </si>
  <si>
    <t>Return Above Total Costs equals total receipts minus total costs.</t>
  </si>
  <si>
    <t>Return Above Variable Costs equals total receipts minus total variable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</si>
  <si>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</si>
  <si>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</si>
  <si>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</si>
  <si>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</si>
  <si>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the "Farm Machinery Cost Estimates". See the reference online at:   http://faculty.apec.umn.edu/wlazarus/documents/machdata.pdf</t>
  </si>
  <si>
    <t>**Semi Tractor Trailer and Pickup Truck are assumed to be used equipment.</t>
  </si>
  <si>
    <t>Assumes a ARC-CO Program Choice, 50/50 Corn/Soybean Program Acres, payment on 85% of program acres.</t>
  </si>
  <si>
    <r>
      <t xml:space="preserve">Management Charge </t>
    </r>
    <r>
      <rPr>
        <vertAlign val="superscript"/>
        <sz val="10"/>
        <rFont val="Arial"/>
        <family val="2"/>
      </rPr>
      <t>14</t>
    </r>
  </si>
  <si>
    <t>RETURN TO LABOR AND MANAGEMENT</t>
  </si>
  <si>
    <r>
      <t>RETURN ABOVE VARIABLE COSTS</t>
    </r>
    <r>
      <rPr>
        <vertAlign val="superscript"/>
        <sz val="10"/>
        <rFont val="Arial"/>
        <family val="2"/>
      </rPr>
      <t>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</si>
</sst>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9" formatCode="#,##0.000"/>
    <numFmt numFmtId="170" formatCode="#,##0.00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4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0" fillId="0" borderId="3" xfId="0" applyFont="1" applyBorder="1"/>
    <xf numFmtId="0" fontId="11" fillId="0" borderId="3" xfId="0" applyFont="1" applyBorder="1"/>
    <xf numFmtId="2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3" applyFont="1"/>
    <xf numFmtId="0" fontId="11" fillId="0" borderId="0" xfId="0" applyFont="1" applyAlignment="1">
      <alignment horizontal="center"/>
    </xf>
    <xf numFmtId="0" fontId="11" fillId="0" borderId="0" xfId="0" applyFont="1"/>
    <xf numFmtId="167" fontId="11" fillId="0" borderId="0" xfId="1" applyNumberFormat="1" applyFont="1" applyAlignment="1">
      <alignment horizontal="center"/>
    </xf>
    <xf numFmtId="9" fontId="10" fillId="0" borderId="0" xfId="3" applyFont="1" applyAlignment="1">
      <alignment horizontal="right"/>
    </xf>
    <xf numFmtId="167" fontId="10" fillId="0" borderId="0" xfId="1" applyNumberFormat="1" applyFont="1"/>
    <xf numFmtId="2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/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9" fontId="11" fillId="0" borderId="0" xfId="3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/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2" fontId="10" fillId="0" borderId="0" xfId="0" applyNumberFormat="1" applyFont="1" applyBorder="1"/>
    <xf numFmtId="0" fontId="10" fillId="0" borderId="0" xfId="0" applyFont="1" applyBorder="1"/>
    <xf numFmtId="164" fontId="2" fillId="0" borderId="0" xfId="0" applyNumberFormat="1" applyFont="1"/>
    <xf numFmtId="0" fontId="10" fillId="0" borderId="0" xfId="0" applyFont="1" applyFill="1" applyAlignment="1">
      <alignment horizontal="left"/>
    </xf>
    <xf numFmtId="2" fontId="2" fillId="0" borderId="4" xfId="0" applyNumberFormat="1" applyFont="1" applyBorder="1"/>
    <xf numFmtId="2" fontId="2" fillId="0" borderId="0" xfId="0" quotePrefix="1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/>
    <xf numFmtId="2" fontId="4" fillId="0" borderId="0" xfId="0" applyNumberFormat="1" applyFont="1"/>
    <xf numFmtId="1" fontId="4" fillId="0" borderId="0" xfId="0" applyNumberFormat="1" applyFont="1"/>
    <xf numFmtId="2" fontId="4" fillId="0" borderId="0" xfId="0" quotePrefix="1" applyNumberFormat="1" applyFont="1"/>
    <xf numFmtId="0" fontId="2" fillId="0" borderId="0" xfId="0" quotePrefix="1" applyFont="1"/>
    <xf numFmtId="0" fontId="9" fillId="0" borderId="0" xfId="0" applyFont="1" applyAlignment="1">
      <alignment horizontal="right"/>
    </xf>
    <xf numFmtId="164" fontId="10" fillId="0" borderId="0" xfId="0" quotePrefix="1" applyNumberFormat="1" applyFont="1" applyBorder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2" fontId="10" fillId="0" borderId="2" xfId="0" quotePrefix="1" applyNumberFormat="1" applyFont="1" applyBorder="1" applyAlignment="1">
      <alignment horizontal="center"/>
    </xf>
    <xf numFmtId="49" fontId="2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165" fontId="12" fillId="3" borderId="0" xfId="0" applyNumberFormat="1" applyFont="1" applyFill="1"/>
    <xf numFmtId="1" fontId="12" fillId="3" borderId="2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/>
    <xf numFmtId="2" fontId="12" fillId="3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0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3" applyFont="1" applyFill="1" applyAlignment="1">
      <alignment horizontal="center"/>
    </xf>
    <xf numFmtId="2" fontId="4" fillId="2" borderId="0" xfId="0" applyNumberFormat="1" applyFont="1" applyFill="1"/>
    <xf numFmtId="2" fontId="4" fillId="4" borderId="0" xfId="0" applyNumberFormat="1" applyFont="1" applyFill="1"/>
    <xf numFmtId="2" fontId="4" fillId="4" borderId="4" xfId="0" applyNumberFormat="1" applyFont="1" applyFill="1" applyBorder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6" fontId="10" fillId="3" borderId="2" xfId="2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0" fillId="0" borderId="3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/>
    <xf numFmtId="4" fontId="0" fillId="0" borderId="0" xfId="0" applyNumberFormat="1"/>
    <xf numFmtId="4" fontId="4" fillId="0" borderId="0" xfId="0" applyNumberFormat="1" applyFont="1"/>
    <xf numFmtId="4" fontId="4" fillId="4" borderId="0" xfId="0" applyNumberFormat="1" applyFont="1" applyFill="1"/>
    <xf numFmtId="4" fontId="2" fillId="0" borderId="0" xfId="0" quotePrefix="1" applyNumberFormat="1" applyFont="1"/>
    <xf numFmtId="4" fontId="4" fillId="0" borderId="0" xfId="0" quotePrefix="1" applyNumberFormat="1" applyFont="1"/>
    <xf numFmtId="2" fontId="12" fillId="2" borderId="0" xfId="0" applyNumberFormat="1" applyFont="1" applyFill="1"/>
    <xf numFmtId="0" fontId="10" fillId="0" borderId="3" xfId="0" applyFont="1" applyBorder="1" applyAlignment="1">
      <alignment horizontal="center" wrapText="1"/>
    </xf>
    <xf numFmtId="164" fontId="4" fillId="3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10" fillId="0" borderId="0" xfId="0" quotePrefix="1" applyFont="1"/>
    <xf numFmtId="2" fontId="10" fillId="0" borderId="0" xfId="0" quotePrefix="1" applyNumberFormat="1" applyFont="1"/>
    <xf numFmtId="1" fontId="10" fillId="3" borderId="0" xfId="0" applyNumberFormat="1" applyFont="1" applyFill="1"/>
    <xf numFmtId="169" fontId="12" fillId="3" borderId="0" xfId="0" applyNumberFormat="1" applyFont="1" applyFill="1"/>
    <xf numFmtId="170" fontId="12" fillId="3" borderId="0" xfId="0" applyNumberFormat="1" applyFont="1" applyFill="1"/>
    <xf numFmtId="4" fontId="4" fillId="0" borderId="0" xfId="0" applyNumberFormat="1" applyFont="1" applyFill="1"/>
    <xf numFmtId="1" fontId="10" fillId="0" borderId="0" xfId="0" applyNumberFormat="1" applyFont="1" applyFill="1"/>
    <xf numFmtId="4" fontId="0" fillId="0" borderId="0" xfId="0" applyNumberFormat="1" applyBorder="1"/>
    <xf numFmtId="0" fontId="10" fillId="3" borderId="0" xfId="0" applyFont="1" applyFill="1" applyBorder="1"/>
    <xf numFmtId="4" fontId="0" fillId="0" borderId="1" xfId="0" applyNumberFormat="1" applyBorder="1"/>
    <xf numFmtId="4" fontId="0" fillId="0" borderId="2" xfId="0" applyNumberFormat="1" applyBorder="1"/>
    <xf numFmtId="2" fontId="10" fillId="0" borderId="0" xfId="0" applyNumberFormat="1" applyFont="1" applyFill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2" fontId="10" fillId="0" borderId="0" xfId="0" quotePrefix="1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39" fontId="10" fillId="2" borderId="2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3" fillId="0" borderId="0" xfId="0" quotePrefix="1" applyNumberFormat="1" applyFont="1" applyFill="1" applyAlignment="1">
      <alignment horizontal="center"/>
    </xf>
    <xf numFmtId="2" fontId="13" fillId="0" borderId="2" xfId="0" quotePrefix="1" applyNumberFormat="1" applyFont="1" applyFill="1" applyBorder="1" applyAlignment="1">
      <alignment horizontal="center"/>
    </xf>
    <xf numFmtId="2" fontId="11" fillId="0" borderId="0" xfId="0" applyNumberFormat="1" applyFont="1" applyFill="1"/>
    <xf numFmtId="2" fontId="13" fillId="2" borderId="0" xfId="0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 applyFill="1" applyBorder="1"/>
    <xf numFmtId="7" fontId="11" fillId="3" borderId="0" xfId="2" applyNumberFormat="1" applyFont="1" applyFill="1"/>
    <xf numFmtId="0" fontId="17" fillId="0" borderId="0" xfId="0" applyFont="1"/>
    <xf numFmtId="165" fontId="0" fillId="2" borderId="2" xfId="0" applyNumberFormat="1" applyFill="1" applyBorder="1" applyAlignment="1">
      <alignment horizontal="center"/>
    </xf>
    <xf numFmtId="0" fontId="16" fillId="5" borderId="5" xfId="0" applyFont="1" applyFill="1" applyBorder="1"/>
    <xf numFmtId="0" fontId="18" fillId="5" borderId="6" xfId="0" applyFont="1" applyFill="1" applyBorder="1"/>
    <xf numFmtId="0" fontId="18" fillId="0" borderId="0" xfId="0" applyFont="1"/>
    <xf numFmtId="0" fontId="18" fillId="4" borderId="2" xfId="0" applyFont="1" applyFill="1" applyBorder="1"/>
    <xf numFmtId="0" fontId="18" fillId="4" borderId="3" xfId="0" applyFont="1" applyFill="1" applyBorder="1"/>
    <xf numFmtId="165" fontId="19" fillId="4" borderId="3" xfId="0" applyNumberFormat="1" applyFont="1" applyFill="1" applyBorder="1"/>
    <xf numFmtId="0" fontId="18" fillId="4" borderId="1" xfId="0" applyFont="1" applyFill="1" applyBorder="1"/>
    <xf numFmtId="165" fontId="18" fillId="0" borderId="0" xfId="0" applyNumberFormat="1" applyFont="1"/>
    <xf numFmtId="0" fontId="16" fillId="5" borderId="1" xfId="0" applyFont="1" applyFill="1" applyBorder="1"/>
    <xf numFmtId="0" fontId="18" fillId="4" borderId="0" xfId="0" applyFont="1" applyFill="1" applyBorder="1"/>
    <xf numFmtId="166" fontId="19" fillId="4" borderId="1" xfId="0" applyNumberFormat="1" applyFont="1" applyFill="1" applyBorder="1"/>
    <xf numFmtId="166" fontId="19" fillId="4" borderId="0" xfId="0" applyNumberFormat="1" applyFont="1" applyFill="1" applyBorder="1"/>
    <xf numFmtId="0" fontId="18" fillId="5" borderId="1" xfId="0" applyFont="1" applyFill="1" applyBorder="1"/>
    <xf numFmtId="0" fontId="18" fillId="0" borderId="1" xfId="0" applyFont="1" applyFill="1" applyBorder="1"/>
    <xf numFmtId="0" fontId="17" fillId="0" borderId="1" xfId="0" applyFont="1" applyFill="1" applyBorder="1"/>
    <xf numFmtId="165" fontId="16" fillId="4" borderId="1" xfId="0" applyNumberFormat="1" applyFont="1" applyFill="1" applyBorder="1"/>
    <xf numFmtId="165" fontId="16" fillId="4" borderId="6" xfId="0" applyNumberFormat="1" applyFont="1" applyFill="1" applyBorder="1"/>
    <xf numFmtId="165" fontId="18" fillId="0" borderId="1" xfId="0" applyNumberFormat="1" applyFont="1" applyFill="1" applyBorder="1"/>
    <xf numFmtId="165" fontId="16" fillId="4" borderId="0" xfId="0" applyNumberFormat="1" applyFont="1" applyFill="1" applyBorder="1"/>
    <xf numFmtId="165" fontId="16" fillId="4" borderId="7" xfId="0" applyNumberFormat="1" applyFont="1" applyFill="1" applyBorder="1"/>
    <xf numFmtId="165" fontId="16" fillId="4" borderId="2" xfId="0" applyNumberFormat="1" applyFont="1" applyFill="1" applyBorder="1"/>
    <xf numFmtId="165" fontId="16" fillId="4" borderId="8" xfId="0" applyNumberFormat="1" applyFont="1" applyFill="1" applyBorder="1"/>
    <xf numFmtId="0" fontId="18" fillId="0" borderId="0" xfId="0" applyFont="1" applyFill="1" applyBorder="1"/>
    <xf numFmtId="165" fontId="18" fillId="0" borderId="0" xfId="0" applyNumberFormat="1" applyFont="1" applyFill="1" applyBorder="1"/>
    <xf numFmtId="0" fontId="1" fillId="0" borderId="0" xfId="0" applyFont="1"/>
    <xf numFmtId="4" fontId="2" fillId="0" borderId="0" xfId="0" applyNumberFormat="1" applyFont="1" applyBorder="1"/>
    <xf numFmtId="4" fontId="2" fillId="2" borderId="0" xfId="0" applyNumberFormat="1" applyFont="1" applyFill="1" applyBorder="1"/>
    <xf numFmtId="0" fontId="4" fillId="0" borderId="0" xfId="0" applyFont="1" applyBorder="1"/>
    <xf numFmtId="0" fontId="18" fillId="7" borderId="1" xfId="0" applyFont="1" applyFill="1" applyBorder="1"/>
    <xf numFmtId="165" fontId="18" fillId="7" borderId="1" xfId="0" applyNumberFormat="1" applyFont="1" applyFill="1" applyBorder="1"/>
    <xf numFmtId="0" fontId="1" fillId="0" borderId="0" xfId="0" quotePrefix="1" applyFont="1"/>
    <xf numFmtId="165" fontId="4" fillId="8" borderId="0" xfId="0" applyNumberFormat="1" applyFont="1" applyFill="1"/>
    <xf numFmtId="3" fontId="12" fillId="3" borderId="0" xfId="0" applyNumberFormat="1" applyFont="1" applyFill="1"/>
    <xf numFmtId="2" fontId="4" fillId="9" borderId="0" xfId="0" applyNumberFormat="1" applyFont="1" applyFill="1"/>
    <xf numFmtId="3" fontId="0" fillId="0" borderId="1" xfId="0" applyNumberFormat="1" applyFill="1" applyBorder="1"/>
    <xf numFmtId="3" fontId="0" fillId="0" borderId="0" xfId="0" applyNumberFormat="1" applyBorder="1"/>
    <xf numFmtId="3" fontId="0" fillId="0" borderId="2" xfId="0" applyNumberFormat="1" applyBorder="1"/>
    <xf numFmtId="2" fontId="13" fillId="9" borderId="0" xfId="0" quotePrefix="1" applyNumberFormat="1" applyFont="1" applyFill="1" applyAlignment="1">
      <alignment horizontal="center"/>
    </xf>
    <xf numFmtId="2" fontId="10" fillId="9" borderId="0" xfId="0" applyNumberFormat="1" applyFont="1" applyFill="1" applyBorder="1" applyAlignment="1">
      <alignment horizontal="center"/>
    </xf>
    <xf numFmtId="0" fontId="18" fillId="10" borderId="1" xfId="0" applyFont="1" applyFill="1" applyBorder="1"/>
    <xf numFmtId="1" fontId="16" fillId="11" borderId="9" xfId="0" applyNumberFormat="1" applyFont="1" applyFill="1" applyBorder="1" applyAlignment="1"/>
    <xf numFmtId="0" fontId="16" fillId="11" borderId="2" xfId="0" applyFont="1" applyFill="1" applyBorder="1" applyAlignment="1"/>
    <xf numFmtId="1" fontId="16" fillId="11" borderId="8" xfId="0" applyNumberFormat="1" applyFont="1" applyFill="1" applyBorder="1" applyAlignment="1"/>
    <xf numFmtId="0" fontId="16" fillId="0" borderId="0" xfId="0" applyFont="1"/>
    <xf numFmtId="0" fontId="4" fillId="0" borderId="2" xfId="0" applyFont="1" applyBorder="1"/>
    <xf numFmtId="10" fontId="4" fillId="0" borderId="2" xfId="0" applyNumberFormat="1" applyFont="1" applyFill="1" applyBorder="1"/>
    <xf numFmtId="4" fontId="1" fillId="0" borderId="2" xfId="0" applyNumberFormat="1" applyFont="1" applyBorder="1"/>
    <xf numFmtId="165" fontId="12" fillId="0" borderId="0" xfId="0" applyNumberFormat="1" applyFont="1" applyFill="1"/>
    <xf numFmtId="0" fontId="0" fillId="8" borderId="0" xfId="0" applyFill="1"/>
    <xf numFmtId="4" fontId="0" fillId="8" borderId="1" xfId="0" applyNumberFormat="1" applyFill="1" applyBorder="1"/>
    <xf numFmtId="4" fontId="0" fillId="8" borderId="0" xfId="0" applyNumberFormat="1" applyFill="1" applyBorder="1"/>
    <xf numFmtId="4" fontId="0" fillId="8" borderId="2" xfId="0" applyNumberFormat="1" applyFill="1" applyBorder="1"/>
    <xf numFmtId="4" fontId="0" fillId="8" borderId="0" xfId="0" applyNumberFormat="1" applyFill="1"/>
    <xf numFmtId="0" fontId="18" fillId="7" borderId="2" xfId="0" applyFont="1" applyFill="1" applyBorder="1"/>
    <xf numFmtId="0" fontId="18" fillId="7" borderId="0" xfId="0" applyFont="1" applyFill="1" applyBorder="1"/>
    <xf numFmtId="7" fontId="19" fillId="4" borderId="2" xfId="0" applyNumberFormat="1" applyFont="1" applyFill="1" applyBorder="1"/>
    <xf numFmtId="4" fontId="4" fillId="12" borderId="0" xfId="0" applyNumberFormat="1" applyFont="1" applyFill="1"/>
    <xf numFmtId="4" fontId="4" fillId="12" borderId="2" xfId="0" applyNumberFormat="1" applyFont="1" applyFill="1" applyBorder="1"/>
    <xf numFmtId="4" fontId="4" fillId="12" borderId="0" xfId="0" applyNumberFormat="1" applyFont="1" applyFill="1" applyBorder="1"/>
    <xf numFmtId="2" fontId="4" fillId="10" borderId="0" xfId="0" applyNumberFormat="1" applyFont="1" applyFill="1"/>
    <xf numFmtId="0" fontId="18" fillId="0" borderId="10" xfId="0" applyFont="1" applyFill="1" applyBorder="1"/>
    <xf numFmtId="0" fontId="18" fillId="0" borderId="3" xfId="0" applyFont="1" applyFill="1" applyBorder="1"/>
    <xf numFmtId="165" fontId="16" fillId="0" borderId="3" xfId="0" applyNumberFormat="1" applyFont="1" applyFill="1" applyBorder="1"/>
    <xf numFmtId="0" fontId="16" fillId="5" borderId="3" xfId="0" applyFont="1" applyFill="1" applyBorder="1"/>
    <xf numFmtId="0" fontId="18" fillId="5" borderId="11" xfId="0" applyFont="1" applyFill="1" applyBorder="1"/>
    <xf numFmtId="7" fontId="19" fillId="4" borderId="3" xfId="0" applyNumberFormat="1" applyFont="1" applyFill="1" applyBorder="1"/>
    <xf numFmtId="165" fontId="16" fillId="4" borderId="3" xfId="0" applyNumberFormat="1" applyFont="1" applyFill="1" applyBorder="1"/>
    <xf numFmtId="165" fontId="16" fillId="4" borderId="11" xfId="0" applyNumberFormat="1" applyFont="1" applyFill="1" applyBorder="1"/>
    <xf numFmtId="165" fontId="16" fillId="4" borderId="12" xfId="0" applyNumberFormat="1" applyFont="1" applyFill="1" applyBorder="1"/>
    <xf numFmtId="0" fontId="22" fillId="10" borderId="1" xfId="0" applyFont="1" applyFill="1" applyBorder="1"/>
    <xf numFmtId="0" fontId="22" fillId="4" borderId="2" xfId="0" applyFont="1" applyFill="1" applyBorder="1"/>
    <xf numFmtId="0" fontId="22" fillId="10" borderId="0" xfId="0" applyFont="1" applyFill="1" applyBorder="1"/>
    <xf numFmtId="0" fontId="18" fillId="10" borderId="0" xfId="0" applyFont="1" applyFill="1" applyBorder="1"/>
    <xf numFmtId="0" fontId="22" fillId="4" borderId="0" xfId="0" applyFont="1" applyFill="1" applyBorder="1"/>
    <xf numFmtId="0" fontId="0" fillId="0" borderId="1" xfId="0" applyBorder="1"/>
    <xf numFmtId="0" fontId="0" fillId="13" borderId="0" xfId="0" applyFill="1"/>
    <xf numFmtId="2" fontId="1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4" fillId="0" borderId="0" xfId="0" quotePrefix="1" applyNumberFormat="1" applyFont="1" applyAlignment="1"/>
    <xf numFmtId="0" fontId="4" fillId="0" borderId="0" xfId="0" applyFont="1" applyAlignment="1"/>
    <xf numFmtId="0" fontId="15" fillId="6" borderId="13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57150</xdr:rowOff>
    </xdr:from>
    <xdr:to>
      <xdr:col>4</xdr:col>
      <xdr:colOff>539750</xdr:colOff>
      <xdr:row>4</xdr:row>
      <xdr:rowOff>76200</xdr:rowOff>
    </xdr:to>
    <xdr:pic>
      <xdr:nvPicPr>
        <xdr:cNvPr id="1635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57150"/>
          <a:ext cx="1943100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ulty.apec.umn.edu/wlazarus/documents/machdat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abSelected="1" view="pageBreakPreview" zoomScaleNormal="100" zoomScaleSheetLayoutView="100" workbookViewId="0">
      <selection activeCell="G1" sqref="G1"/>
    </sheetView>
  </sheetViews>
  <sheetFormatPr defaultRowHeight="12.5" x14ac:dyDescent="0.25"/>
  <cols>
    <col min="1" max="1" width="2.81640625" customWidth="1"/>
    <col min="2" max="2" width="2.54296875" customWidth="1"/>
    <col min="4" max="4" width="7" customWidth="1"/>
    <col min="5" max="5" width="8.54296875" customWidth="1"/>
    <col min="6" max="9" width="9.453125" customWidth="1"/>
    <col min="10" max="10" width="6.7265625" customWidth="1"/>
    <col min="11" max="11" width="8.54296875" customWidth="1"/>
    <col min="12" max="14" width="8.54296875" style="14" customWidth="1"/>
    <col min="15" max="15" width="8.7265625" customWidth="1"/>
  </cols>
  <sheetData>
    <row r="1" spans="1:14" ht="15.5" x14ac:dyDescent="0.35">
      <c r="A1" s="216"/>
      <c r="B1" s="216"/>
      <c r="C1" s="216"/>
      <c r="D1" s="216"/>
      <c r="E1" s="216"/>
      <c r="G1" s="52" t="s">
        <v>157</v>
      </c>
    </row>
    <row r="2" spans="1:14" ht="15.5" x14ac:dyDescent="0.35">
      <c r="A2" s="216"/>
      <c r="B2" s="216"/>
      <c r="C2" s="216"/>
      <c r="D2" s="216"/>
      <c r="E2" s="216"/>
      <c r="G2" s="52" t="s">
        <v>89</v>
      </c>
    </row>
    <row r="3" spans="1:14" ht="15.75" customHeight="1" x14ac:dyDescent="0.25">
      <c r="A3" s="216"/>
      <c r="B3" s="216"/>
      <c r="C3" s="216"/>
      <c r="D3" s="216"/>
      <c r="E3" s="216"/>
      <c r="G3" t="s">
        <v>132</v>
      </c>
    </row>
    <row r="4" spans="1:14" ht="15.75" customHeight="1" x14ac:dyDescent="0.25">
      <c r="A4" s="216"/>
      <c r="B4" s="216"/>
      <c r="C4" s="216"/>
      <c r="D4" s="216"/>
      <c r="E4" s="216"/>
    </row>
    <row r="5" spans="1:14" ht="15.75" customHeight="1" x14ac:dyDescent="0.3">
      <c r="A5" s="216"/>
      <c r="B5" s="216"/>
      <c r="C5" s="216"/>
      <c r="D5" s="216"/>
      <c r="E5" s="216"/>
      <c r="K5" s="55" t="s">
        <v>85</v>
      </c>
      <c r="M5" s="220" t="s">
        <v>170</v>
      </c>
      <c r="N5" s="221"/>
    </row>
    <row r="6" spans="1:14" ht="15" x14ac:dyDescent="0.3">
      <c r="A6" s="218" t="s">
        <v>0</v>
      </c>
      <c r="B6" s="218"/>
      <c r="C6" s="218"/>
      <c r="D6" s="218"/>
      <c r="E6" s="219" t="s">
        <v>1</v>
      </c>
      <c r="F6" s="219"/>
      <c r="G6" s="219"/>
      <c r="H6" s="53" t="s">
        <v>3</v>
      </c>
      <c r="I6" s="45" t="s">
        <v>2</v>
      </c>
      <c r="J6" s="3"/>
      <c r="K6" s="215"/>
      <c r="L6" s="43" t="s">
        <v>75</v>
      </c>
      <c r="M6" s="43"/>
      <c r="N6" s="3" t="s">
        <v>3</v>
      </c>
    </row>
    <row r="7" spans="1:14" ht="13" x14ac:dyDescent="0.3">
      <c r="A7" s="4"/>
      <c r="B7" s="4"/>
      <c r="C7" s="4"/>
      <c r="D7" s="4"/>
      <c r="E7" s="4"/>
      <c r="F7" s="4"/>
      <c r="G7" s="4"/>
      <c r="H7" s="5" t="s">
        <v>57</v>
      </c>
      <c r="I7" s="5" t="s">
        <v>4</v>
      </c>
      <c r="J7" s="5"/>
      <c r="K7" s="6"/>
      <c r="L7" s="6"/>
      <c r="M7" s="6"/>
      <c r="N7" s="5" t="s">
        <v>5</v>
      </c>
    </row>
    <row r="8" spans="1:14" ht="13" x14ac:dyDescent="0.3">
      <c r="A8" s="7"/>
      <c r="B8" s="7"/>
      <c r="C8" s="7"/>
      <c r="D8" s="7"/>
      <c r="E8" s="7"/>
      <c r="F8" s="7"/>
      <c r="G8" s="7"/>
      <c r="H8" s="54" t="s">
        <v>58</v>
      </c>
      <c r="I8" s="7"/>
      <c r="J8" s="7"/>
      <c r="K8" s="8">
        <v>130.5</v>
      </c>
      <c r="L8" s="8">
        <v>163.1</v>
      </c>
      <c r="M8" s="8">
        <v>195.7</v>
      </c>
      <c r="N8" s="67">
        <v>200</v>
      </c>
    </row>
    <row r="9" spans="1:14" ht="13" x14ac:dyDescent="0.3">
      <c r="A9" s="9" t="s">
        <v>6</v>
      </c>
      <c r="B9" s="1"/>
      <c r="C9" s="1"/>
      <c r="D9" s="1"/>
      <c r="F9" s="1"/>
      <c r="G9" s="1"/>
      <c r="H9" s="1"/>
      <c r="I9" s="1"/>
      <c r="J9" s="1"/>
      <c r="K9" s="10"/>
      <c r="L9" s="10"/>
      <c r="M9" s="10"/>
      <c r="N9" s="10"/>
    </row>
    <row r="10" spans="1:14" ht="15" x14ac:dyDescent="0.3">
      <c r="A10" s="1"/>
      <c r="B10" s="1" t="s">
        <v>41</v>
      </c>
      <c r="C10" s="1"/>
      <c r="D10" s="1"/>
      <c r="F10" s="1"/>
      <c r="G10" s="1"/>
      <c r="H10" s="1"/>
      <c r="I10" s="66">
        <v>3.65</v>
      </c>
      <c r="J10" s="1" t="s">
        <v>7</v>
      </c>
      <c r="K10" s="97">
        <f>+$I$10*K8</f>
        <v>476.32499999999999</v>
      </c>
      <c r="L10" s="97">
        <f>+$I$10*L8</f>
        <v>595.31499999999994</v>
      </c>
      <c r="M10" s="97">
        <f>+$I$10*M8</f>
        <v>714.30499999999995</v>
      </c>
      <c r="N10" s="98">
        <f>+$I$10*N8</f>
        <v>730</v>
      </c>
    </row>
    <row r="11" spans="1:14" ht="15" x14ac:dyDescent="0.3">
      <c r="A11" s="1"/>
      <c r="B11" s="165" t="s">
        <v>174</v>
      </c>
      <c r="C11" s="1"/>
      <c r="D11" s="1"/>
      <c r="F11" s="1"/>
      <c r="G11" s="1"/>
      <c r="H11" s="1"/>
      <c r="I11" s="188"/>
      <c r="J11" s="1"/>
      <c r="K11" s="97">
        <v>21.25</v>
      </c>
      <c r="L11" s="97">
        <v>21.25</v>
      </c>
      <c r="M11" s="97">
        <v>21.25</v>
      </c>
      <c r="N11" s="114">
        <v>21.25</v>
      </c>
    </row>
    <row r="12" spans="1:14" ht="13" x14ac:dyDescent="0.3">
      <c r="A12" s="1"/>
      <c r="B12" s="165" t="s">
        <v>158</v>
      </c>
      <c r="C12" s="1"/>
      <c r="D12" s="1"/>
      <c r="F12" s="1"/>
      <c r="G12" s="1"/>
      <c r="H12" s="1"/>
      <c r="I12" s="188"/>
      <c r="J12" s="1"/>
      <c r="K12" s="97">
        <v>0</v>
      </c>
      <c r="L12" s="97">
        <v>0</v>
      </c>
      <c r="M12" s="97">
        <v>0</v>
      </c>
      <c r="N12" s="114">
        <v>0</v>
      </c>
    </row>
    <row r="13" spans="1:14" ht="13" x14ac:dyDescent="0.3">
      <c r="A13" s="1"/>
      <c r="B13" s="165" t="s">
        <v>135</v>
      </c>
      <c r="D13" s="1"/>
      <c r="E13" s="1"/>
      <c r="F13" s="188"/>
      <c r="G13" s="72"/>
      <c r="H13" s="72"/>
      <c r="I13" s="188"/>
      <c r="J13" s="58"/>
      <c r="K13" s="97">
        <v>0</v>
      </c>
      <c r="L13" s="97">
        <v>0</v>
      </c>
      <c r="M13" s="97">
        <v>0</v>
      </c>
      <c r="N13" s="114">
        <v>0</v>
      </c>
    </row>
    <row r="14" spans="1:14" ht="13" x14ac:dyDescent="0.3">
      <c r="A14" s="1"/>
      <c r="B14" s="1"/>
      <c r="C14" s="1"/>
      <c r="D14" s="1"/>
      <c r="E14" s="13"/>
      <c r="F14" s="13"/>
      <c r="G14" s="13"/>
      <c r="H14" s="13"/>
      <c r="I14" s="11"/>
      <c r="J14" s="13"/>
      <c r="K14" s="97"/>
      <c r="L14" s="97"/>
      <c r="M14" s="97"/>
      <c r="N14" s="100"/>
    </row>
    <row r="15" spans="1:14" ht="13" x14ac:dyDescent="0.3">
      <c r="A15" s="9" t="s">
        <v>39</v>
      </c>
      <c r="B15" s="1"/>
      <c r="C15" s="1"/>
      <c r="D15" s="1"/>
      <c r="E15" s="1"/>
      <c r="F15" s="1"/>
      <c r="G15" s="1"/>
      <c r="H15" s="1"/>
      <c r="I15" s="11"/>
      <c r="J15" s="1"/>
      <c r="K15" s="97">
        <f>SUM(K10:K13)</f>
        <v>497.57499999999999</v>
      </c>
      <c r="L15" s="97">
        <f>SUM(L10:L13)</f>
        <v>616.56499999999994</v>
      </c>
      <c r="M15" s="97">
        <f>SUM(M10:M13)</f>
        <v>735.55499999999995</v>
      </c>
      <c r="N15" s="98">
        <f>SUM(N10:N13)</f>
        <v>751.25</v>
      </c>
    </row>
    <row r="16" spans="1:14" ht="4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0"/>
      <c r="L16" s="10"/>
      <c r="M16" s="10"/>
      <c r="N16" s="56"/>
    </row>
    <row r="17" spans="1:18" ht="13" x14ac:dyDescent="0.3">
      <c r="A17" s="9" t="s">
        <v>8</v>
      </c>
      <c r="B17" s="1"/>
      <c r="C17" s="1"/>
      <c r="D17" s="1"/>
      <c r="E17" s="1"/>
      <c r="F17" s="1"/>
      <c r="G17" s="1"/>
      <c r="H17" s="1"/>
      <c r="I17" s="1"/>
      <c r="J17" s="11"/>
      <c r="K17" s="10"/>
      <c r="L17" s="10"/>
      <c r="M17" s="10"/>
      <c r="N17" s="56"/>
    </row>
    <row r="18" spans="1:18" ht="15" x14ac:dyDescent="0.3">
      <c r="A18" s="1"/>
      <c r="B18" s="1" t="s">
        <v>76</v>
      </c>
      <c r="C18" s="1"/>
      <c r="D18" s="1"/>
      <c r="E18" s="1">
        <v>28000</v>
      </c>
      <c r="F18" s="1">
        <v>32000</v>
      </c>
      <c r="G18" s="1">
        <v>34000</v>
      </c>
      <c r="H18" s="69">
        <v>34000</v>
      </c>
      <c r="I18" s="66">
        <f>I19/80</f>
        <v>3.4375</v>
      </c>
      <c r="J18" s="1" t="s">
        <v>50</v>
      </c>
      <c r="K18" s="2">
        <f>+$I$18*E18/1000</f>
        <v>96.25</v>
      </c>
      <c r="L18" s="2">
        <f>+$I$18*F18/1000</f>
        <v>110</v>
      </c>
      <c r="M18" s="2">
        <f>+$I$18*G18/1000</f>
        <v>116.875</v>
      </c>
      <c r="N18" s="77">
        <f>+$I$18*H18/1000</f>
        <v>116.875</v>
      </c>
    </row>
    <row r="19" spans="1:18" ht="13" x14ac:dyDescent="0.3">
      <c r="A19" s="1"/>
      <c r="B19" s="1"/>
      <c r="C19" s="1"/>
      <c r="D19" s="1"/>
      <c r="E19" s="1" t="s">
        <v>80</v>
      </c>
      <c r="F19" s="1"/>
      <c r="G19" s="1"/>
      <c r="H19" s="108"/>
      <c r="I19" s="66">
        <v>275</v>
      </c>
      <c r="J19" s="58" t="s">
        <v>81</v>
      </c>
      <c r="K19" s="2"/>
      <c r="L19" s="2"/>
      <c r="M19" s="2"/>
      <c r="N19" s="107"/>
    </row>
    <row r="20" spans="1:18" ht="15" x14ac:dyDescent="0.3">
      <c r="A20" s="1"/>
      <c r="B20" s="1" t="s">
        <v>33</v>
      </c>
      <c r="C20" s="1"/>
      <c r="D20" s="1"/>
      <c r="E20" s="1"/>
      <c r="F20" s="1"/>
      <c r="G20" s="1"/>
      <c r="H20" s="72"/>
      <c r="I20" s="73"/>
      <c r="J20" s="12"/>
      <c r="K20" s="2"/>
      <c r="L20" s="2"/>
      <c r="M20" s="2"/>
      <c r="N20" s="55"/>
    </row>
    <row r="21" spans="1:18" ht="13" x14ac:dyDescent="0.3">
      <c r="A21" s="1"/>
      <c r="B21" s="1"/>
      <c r="C21" s="165" t="s">
        <v>148</v>
      </c>
      <c r="D21" s="1"/>
      <c r="E21" s="1"/>
      <c r="F21" s="1"/>
      <c r="G21" s="1"/>
      <c r="H21" s="72"/>
      <c r="I21" s="73"/>
      <c r="J21" s="12"/>
      <c r="K21" s="2">
        <v>0</v>
      </c>
      <c r="L21" s="2">
        <v>0</v>
      </c>
      <c r="M21" s="2">
        <v>0</v>
      </c>
      <c r="N21" s="200">
        <v>0</v>
      </c>
    </row>
    <row r="22" spans="1:18" ht="13" x14ac:dyDescent="0.3">
      <c r="A22" s="1"/>
      <c r="B22" s="1"/>
      <c r="C22" s="1" t="s">
        <v>9</v>
      </c>
      <c r="D22" s="1"/>
      <c r="E22" s="48">
        <f>-27+(1.36*K8)-30</f>
        <v>120.48000000000002</v>
      </c>
      <c r="F22" s="48">
        <f>-27+(1.36*L8)-30</f>
        <v>164.816</v>
      </c>
      <c r="G22" s="48">
        <f>-27+(1.36*M8)-30</f>
        <v>209.15199999999999</v>
      </c>
      <c r="H22" s="70">
        <f>-27+(1.36*N8)-30</f>
        <v>215</v>
      </c>
      <c r="I22" s="112">
        <f>F72/1640</f>
        <v>0.45731707317073172</v>
      </c>
      <c r="J22" s="1" t="s">
        <v>10</v>
      </c>
      <c r="K22" s="2">
        <f>($I$22*E22)+10</f>
        <v>65.097560975609767</v>
      </c>
      <c r="L22" s="2">
        <f>($I$22*F22)+10</f>
        <v>85.373170731707319</v>
      </c>
      <c r="M22" s="2">
        <f>($I$22*G22)+10</f>
        <v>105.64878048780487</v>
      </c>
      <c r="N22" s="77">
        <f>($I$22*H22)+10</f>
        <v>108.32317073170732</v>
      </c>
    </row>
    <row r="23" spans="1:18" ht="15.5" x14ac:dyDescent="0.4">
      <c r="A23" s="1"/>
      <c r="B23" s="1"/>
      <c r="C23" s="1" t="s">
        <v>34</v>
      </c>
      <c r="D23" s="1"/>
      <c r="E23" s="48">
        <f>K8*0.37</f>
        <v>48.284999999999997</v>
      </c>
      <c r="F23" s="48">
        <f>L8*0.37</f>
        <v>60.346999999999994</v>
      </c>
      <c r="G23" s="48">
        <f>M8*0.37</f>
        <v>72.408999999999992</v>
      </c>
      <c r="H23" s="106">
        <f>N8*0.37</f>
        <v>74</v>
      </c>
      <c r="I23" s="113">
        <f>I72/1040</f>
        <v>0.56730769230769229</v>
      </c>
      <c r="J23" s="1" t="s">
        <v>10</v>
      </c>
      <c r="K23" s="2">
        <f>+$I$23*E23</f>
        <v>27.392451923076919</v>
      </c>
      <c r="L23" s="2">
        <f>+$I$23*F23</f>
        <v>34.235317307692306</v>
      </c>
      <c r="M23" s="2">
        <f>+$I$23*G23</f>
        <v>41.078182692307685</v>
      </c>
      <c r="N23" s="77">
        <f>+$I$23*H23</f>
        <v>41.980769230769226</v>
      </c>
    </row>
    <row r="24" spans="1:18" ht="15.5" x14ac:dyDescent="0.4">
      <c r="A24" s="1"/>
      <c r="B24" s="1"/>
      <c r="C24" s="1" t="s">
        <v>35</v>
      </c>
      <c r="D24" s="1"/>
      <c r="E24" s="48">
        <f>(K8*0.27)</f>
        <v>35.234999999999999</v>
      </c>
      <c r="F24" s="48">
        <f>(L8*0.27)</f>
        <v>44.036999999999999</v>
      </c>
      <c r="G24" s="48">
        <f>(M8*0.27)</f>
        <v>52.838999999999999</v>
      </c>
      <c r="H24" s="70">
        <f>(N8*0.27)</f>
        <v>54</v>
      </c>
      <c r="I24" s="113">
        <f>M72/1200</f>
        <v>0.4</v>
      </c>
      <c r="J24" s="1" t="s">
        <v>10</v>
      </c>
      <c r="K24" s="2">
        <f>+$I$24*E24</f>
        <v>14.094000000000001</v>
      </c>
      <c r="L24" s="2">
        <f>+$I$24*F24</f>
        <v>17.614799999999999</v>
      </c>
      <c r="M24" s="2">
        <f>+$I$24*G24</f>
        <v>21.1356</v>
      </c>
      <c r="N24" s="77">
        <f>+$I$24*H24</f>
        <v>21.6</v>
      </c>
      <c r="O24" s="14"/>
      <c r="P24" s="14"/>
      <c r="Q24" s="14"/>
      <c r="R24" s="14"/>
    </row>
    <row r="25" spans="1:18" ht="13" x14ac:dyDescent="0.3">
      <c r="A25" s="1"/>
      <c r="B25" s="1"/>
      <c r="C25" s="1" t="s">
        <v>11</v>
      </c>
      <c r="D25" s="1"/>
      <c r="E25" s="1"/>
      <c r="F25" s="1">
        <v>0.25</v>
      </c>
      <c r="G25" s="1"/>
      <c r="H25" s="71">
        <v>0.25</v>
      </c>
      <c r="I25" s="69">
        <v>25</v>
      </c>
      <c r="J25" s="1" t="s">
        <v>12</v>
      </c>
      <c r="K25" s="2">
        <f>+F25*I25</f>
        <v>6.25</v>
      </c>
      <c r="L25" s="2">
        <f>+F25*I25</f>
        <v>6.25</v>
      </c>
      <c r="M25" s="2">
        <f>+F25*I25</f>
        <v>6.25</v>
      </c>
      <c r="N25" s="77">
        <f>+H25*I25</f>
        <v>6.25</v>
      </c>
    </row>
    <row r="26" spans="1:18" ht="15" x14ac:dyDescent="0.3">
      <c r="A26" s="1"/>
      <c r="B26" s="1" t="s">
        <v>36</v>
      </c>
      <c r="C26" s="1"/>
      <c r="D26" s="1" t="s">
        <v>77</v>
      </c>
      <c r="E26" s="1"/>
      <c r="F26" s="1"/>
      <c r="G26" s="1"/>
      <c r="H26" s="1"/>
      <c r="I26" s="1"/>
      <c r="J26" s="1"/>
      <c r="K26" s="2">
        <v>56.08</v>
      </c>
      <c r="L26" s="2">
        <v>56.08</v>
      </c>
      <c r="M26" s="2">
        <v>56.08</v>
      </c>
      <c r="N26" s="78">
        <v>56.08</v>
      </c>
    </row>
    <row r="27" spans="1:18" ht="13" x14ac:dyDescent="0.3">
      <c r="A27" s="1"/>
      <c r="B27" s="1"/>
      <c r="C27" s="1"/>
      <c r="D27" s="1" t="s">
        <v>78</v>
      </c>
      <c r="E27" s="1"/>
      <c r="F27" s="1"/>
      <c r="G27" s="1"/>
      <c r="H27" s="1"/>
      <c r="I27" s="1"/>
      <c r="J27" s="1"/>
      <c r="K27" s="2">
        <v>0</v>
      </c>
      <c r="L27" s="2">
        <v>0</v>
      </c>
      <c r="M27" s="2">
        <v>0</v>
      </c>
      <c r="N27" s="78">
        <v>0</v>
      </c>
    </row>
    <row r="28" spans="1:18" ht="13" x14ac:dyDescent="0.3">
      <c r="A28" s="1"/>
      <c r="B28" s="1"/>
      <c r="C28" s="1"/>
      <c r="D28" s="1" t="s">
        <v>79</v>
      </c>
      <c r="E28" s="1"/>
      <c r="F28" s="1"/>
      <c r="G28" s="1"/>
      <c r="H28" s="1"/>
      <c r="I28" s="1"/>
      <c r="J28" s="1"/>
      <c r="K28" s="2">
        <v>0</v>
      </c>
      <c r="L28" s="2">
        <v>0</v>
      </c>
      <c r="M28" s="2">
        <v>0</v>
      </c>
      <c r="N28" s="78">
        <v>0</v>
      </c>
    </row>
    <row r="29" spans="1:18" ht="15" x14ac:dyDescent="0.3">
      <c r="A29" s="1"/>
      <c r="B29" s="1" t="s">
        <v>37</v>
      </c>
      <c r="C29" s="1"/>
      <c r="D29" s="1"/>
      <c r="E29" s="1"/>
      <c r="F29" s="66">
        <v>1.5</v>
      </c>
      <c r="G29" s="1" t="s">
        <v>56</v>
      </c>
      <c r="H29" s="1"/>
      <c r="I29" s="104">
        <f>(5*0.02*F29)+0.01</f>
        <v>0.16000000000000003</v>
      </c>
      <c r="J29" s="1" t="s">
        <v>7</v>
      </c>
      <c r="K29" s="2">
        <f>+$I$29*K8</f>
        <v>20.880000000000003</v>
      </c>
      <c r="L29" s="2">
        <f>+$I$29*L8</f>
        <v>26.096000000000004</v>
      </c>
      <c r="M29" s="2">
        <f>+$I$29*M8</f>
        <v>31.312000000000005</v>
      </c>
      <c r="N29" s="77">
        <f>+$I$29*N8</f>
        <v>32.000000000000007</v>
      </c>
    </row>
    <row r="30" spans="1:18" ht="15" x14ac:dyDescent="0.3">
      <c r="A30" s="1"/>
      <c r="B30" s="1" t="s">
        <v>65</v>
      </c>
      <c r="C30" s="1"/>
      <c r="D30" s="1"/>
      <c r="E30" s="1"/>
      <c r="F30" s="172">
        <v>2.85</v>
      </c>
      <c r="G30" s="171" t="s">
        <v>121</v>
      </c>
      <c r="H30" s="1"/>
      <c r="I30" s="173">
        <v>30</v>
      </c>
      <c r="J30" s="165" t="s">
        <v>122</v>
      </c>
      <c r="K30" s="2">
        <f>(((($I$30/6)*$F$30)/900)*K8)+(((($I$30/6)*$F$30)/900)*K8)*0.1</f>
        <v>2.272875</v>
      </c>
      <c r="L30" s="2">
        <f>(((($I$30/6)*$F$30)/900)*L8)+(((($I$30/6)*$F$30)/900)*L8)*0.1</f>
        <v>2.8406583333333333</v>
      </c>
      <c r="M30" s="2">
        <f>(((($I$30/6)*$F$30)/900)*M8)+(((($I$30/6)*$F$30)/900)*M8)*0.1</f>
        <v>3.4084416666666666</v>
      </c>
      <c r="N30" s="174">
        <f>(((($I$30/6)*$F$30)/900)*N8)+(((($I$30/6)*$F$30)/900)*N8)*0.1</f>
        <v>3.4833333333333338</v>
      </c>
    </row>
    <row r="31" spans="1:18" ht="15" x14ac:dyDescent="0.3">
      <c r="A31" s="1"/>
      <c r="B31" s="1" t="s">
        <v>66</v>
      </c>
      <c r="C31" s="1"/>
      <c r="D31" s="1"/>
      <c r="E31" s="1"/>
      <c r="F31" s="1"/>
      <c r="G31" s="1"/>
      <c r="H31" s="1"/>
      <c r="I31" s="1"/>
      <c r="J31" s="1"/>
      <c r="K31" s="2">
        <f>+$K$115</f>
        <v>13.522169263622976</v>
      </c>
      <c r="L31" s="2">
        <f>+$K$115</f>
        <v>13.522169263622976</v>
      </c>
      <c r="M31" s="2">
        <f>+$K$115</f>
        <v>13.522169263622976</v>
      </c>
      <c r="N31" s="77">
        <f>+$K$115</f>
        <v>13.522169263622976</v>
      </c>
    </row>
    <row r="32" spans="1:18" ht="15" x14ac:dyDescent="0.3">
      <c r="A32" s="1"/>
      <c r="B32" s="1" t="s">
        <v>67</v>
      </c>
      <c r="C32" s="1"/>
      <c r="D32" s="1"/>
      <c r="E32" s="1"/>
      <c r="F32" s="1"/>
      <c r="G32" s="1"/>
      <c r="H32" s="1"/>
      <c r="I32" s="1"/>
      <c r="J32" s="1"/>
      <c r="K32" s="2">
        <f>+$M$115</f>
        <v>26.77939173323341</v>
      </c>
      <c r="L32" s="2">
        <f>+$M$115</f>
        <v>26.77939173323341</v>
      </c>
      <c r="M32" s="2">
        <f>+$M$115</f>
        <v>26.77939173323341</v>
      </c>
      <c r="N32" s="77">
        <f>+$M$115</f>
        <v>26.77939173323341</v>
      </c>
    </row>
    <row r="33" spans="1:14" ht="15" x14ac:dyDescent="0.3">
      <c r="A33" s="1"/>
      <c r="B33" s="1" t="s">
        <v>68</v>
      </c>
      <c r="C33" s="1"/>
      <c r="D33" s="1"/>
      <c r="E33" s="1"/>
      <c r="F33" s="1"/>
      <c r="G33" s="1"/>
      <c r="H33" s="1"/>
      <c r="I33" s="1"/>
      <c r="J33" s="1"/>
      <c r="K33" s="2">
        <v>16.3</v>
      </c>
      <c r="L33" s="2">
        <v>17</v>
      </c>
      <c r="M33" s="2">
        <v>17.8</v>
      </c>
      <c r="N33" s="78">
        <v>17.8</v>
      </c>
    </row>
    <row r="34" spans="1:14" ht="15" x14ac:dyDescent="0.3">
      <c r="A34" s="1"/>
      <c r="B34" s="1" t="s">
        <v>61</v>
      </c>
      <c r="C34" s="1"/>
      <c r="D34" s="1"/>
      <c r="E34" s="1"/>
      <c r="F34" s="1"/>
      <c r="G34" s="1"/>
      <c r="H34" s="1"/>
      <c r="I34" s="1"/>
      <c r="J34" s="1"/>
      <c r="K34" s="2">
        <v>5</v>
      </c>
      <c r="L34" s="2">
        <v>5</v>
      </c>
      <c r="M34" s="2">
        <v>12</v>
      </c>
      <c r="N34" s="78">
        <v>5</v>
      </c>
    </row>
    <row r="35" spans="1:14" ht="15" x14ac:dyDescent="0.3">
      <c r="A35" s="1"/>
      <c r="B35" s="1" t="s">
        <v>62</v>
      </c>
      <c r="C35" s="1"/>
      <c r="D35" s="1"/>
      <c r="E35" s="1"/>
      <c r="F35" s="68">
        <v>7</v>
      </c>
      <c r="G35" s="1" t="s">
        <v>13</v>
      </c>
      <c r="H35" s="1"/>
      <c r="I35" s="74">
        <v>0.05</v>
      </c>
      <c r="J35" s="1"/>
      <c r="K35" s="2">
        <f>(SUM(K18:K34)-K29-K30)*$I$35*($F$35/12)</f>
        <v>9.5306625719533411</v>
      </c>
      <c r="L35" s="2">
        <f>(SUM(L18:L34)-L29-L30)*$I$35*($F$35/12)</f>
        <v>10.845766430224135</v>
      </c>
      <c r="M35" s="2">
        <f>(SUM(M18:M34)-M29-M30)*$I$35*($F$35/12)</f>
        <v>12.16743278849493</v>
      </c>
      <c r="N35" s="77">
        <f>(SUM(N18:N34)-N29-N30)*$I$35*($F$35/12)</f>
        <v>12.081139611313878</v>
      </c>
    </row>
    <row r="36" spans="1:14" ht="15" x14ac:dyDescent="0.3">
      <c r="A36" s="1"/>
      <c r="B36" s="1" t="s">
        <v>63</v>
      </c>
      <c r="C36" s="1"/>
      <c r="D36" s="1"/>
      <c r="E36" s="1"/>
      <c r="F36" s="1"/>
      <c r="G36" s="1"/>
      <c r="H36" s="1"/>
      <c r="I36" s="1"/>
      <c r="J36" s="1"/>
      <c r="K36" s="50">
        <v>0</v>
      </c>
      <c r="L36" s="50">
        <v>0</v>
      </c>
      <c r="M36" s="50">
        <v>0</v>
      </c>
      <c r="N36" s="79">
        <v>0</v>
      </c>
    </row>
    <row r="37" spans="1:14" ht="3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51"/>
      <c r="L37" s="51"/>
      <c r="M37" s="51"/>
      <c r="N37" s="57"/>
    </row>
    <row r="38" spans="1:14" ht="13" x14ac:dyDescent="0.3">
      <c r="A38" s="9" t="s">
        <v>14</v>
      </c>
      <c r="B38" s="1"/>
      <c r="C38" s="1"/>
      <c r="D38" s="1"/>
      <c r="E38" s="1"/>
      <c r="G38" s="63" t="s">
        <v>15</v>
      </c>
      <c r="H38" s="63"/>
      <c r="I38" s="1"/>
      <c r="J38" s="1"/>
      <c r="K38" s="2">
        <f>SUM(K18:K37)</f>
        <v>359.44911146749638</v>
      </c>
      <c r="L38" s="2">
        <f>SUM(L18:L37)</f>
        <v>411.6372737998135</v>
      </c>
      <c r="M38" s="2">
        <f>SUM(M18:M37)</f>
        <v>464.0569986321305</v>
      </c>
      <c r="N38" s="77">
        <f>SUM(N18:N37)</f>
        <v>461.77497390398014</v>
      </c>
    </row>
    <row r="39" spans="1:14" ht="13" x14ac:dyDescent="0.3">
      <c r="A39" s="1"/>
      <c r="B39" s="1"/>
      <c r="C39" s="1"/>
      <c r="D39" s="1"/>
      <c r="E39" s="1"/>
      <c r="G39" s="63" t="s">
        <v>16</v>
      </c>
      <c r="H39" s="63"/>
      <c r="I39" s="1"/>
      <c r="J39" s="1"/>
      <c r="K39" s="2">
        <f>+K38/K8</f>
        <v>2.7543993215900104</v>
      </c>
      <c r="L39" s="2">
        <f>+L38/L8</f>
        <v>2.5238336836285318</v>
      </c>
      <c r="M39" s="2">
        <f>+M38/M8</f>
        <v>2.3712672387947396</v>
      </c>
      <c r="N39" s="77">
        <f>+N38/N8</f>
        <v>2.3088748695199008</v>
      </c>
    </row>
    <row r="40" spans="1:14" ht="3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0"/>
      <c r="L40" s="10"/>
      <c r="M40" s="10"/>
      <c r="N40" s="56"/>
    </row>
    <row r="41" spans="1:14" ht="13" x14ac:dyDescent="0.3">
      <c r="A41" s="9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0"/>
      <c r="L41" s="10"/>
      <c r="M41" s="10"/>
      <c r="N41" s="56"/>
    </row>
    <row r="42" spans="1:14" ht="15" x14ac:dyDescent="0.3">
      <c r="A42" s="1"/>
      <c r="B42" s="165" t="s">
        <v>179</v>
      </c>
      <c r="C42" s="1"/>
      <c r="D42" s="1"/>
      <c r="E42" s="1"/>
      <c r="F42" s="75">
        <v>3</v>
      </c>
      <c r="G42" s="1" t="s">
        <v>18</v>
      </c>
      <c r="H42" s="1"/>
      <c r="I42" s="71">
        <v>15</v>
      </c>
      <c r="J42" s="1" t="s">
        <v>19</v>
      </c>
      <c r="K42" s="97">
        <f>+$F$42*$I$42</f>
        <v>45</v>
      </c>
      <c r="L42" s="97">
        <f>+$F$42*$I$42</f>
        <v>45</v>
      </c>
      <c r="M42" s="97">
        <f>+$F$42*$I$42</f>
        <v>45</v>
      </c>
      <c r="N42" s="98">
        <f>+$F$42*$I$42</f>
        <v>45</v>
      </c>
    </row>
    <row r="43" spans="1:14" ht="15" x14ac:dyDescent="0.3">
      <c r="A43" s="1"/>
      <c r="B43" s="165" t="s">
        <v>192</v>
      </c>
      <c r="C43" s="1"/>
      <c r="D43" s="1"/>
      <c r="E43" s="1"/>
      <c r="F43" s="76">
        <v>0.05</v>
      </c>
      <c r="G43" s="1" t="s">
        <v>21</v>
      </c>
      <c r="H43" s="1"/>
      <c r="I43" s="1"/>
      <c r="J43" s="1"/>
      <c r="K43" s="166">
        <f>$F$43*K15</f>
        <v>24.87875</v>
      </c>
      <c r="L43" s="166">
        <f>$F$43*L15</f>
        <v>30.828249999999997</v>
      </c>
      <c r="M43" s="166">
        <f>$F$43*M15</f>
        <v>36.777749999999997</v>
      </c>
      <c r="N43" s="167">
        <f>$F$43*N15</f>
        <v>37.5625</v>
      </c>
    </row>
    <row r="44" spans="1:14" ht="15" x14ac:dyDescent="0.3">
      <c r="A44" s="1"/>
      <c r="B44" s="1" t="s">
        <v>64</v>
      </c>
      <c r="C44" s="1"/>
      <c r="D44" s="1"/>
      <c r="E44" s="1"/>
      <c r="F44" s="13"/>
      <c r="G44" s="1"/>
      <c r="H44" s="1"/>
      <c r="I44" s="1"/>
      <c r="J44" s="1"/>
      <c r="K44" s="97">
        <f>$I$115</f>
        <v>130.44588281249997</v>
      </c>
      <c r="L44" s="97">
        <f>$I$115</f>
        <v>130.44588281249997</v>
      </c>
      <c r="M44" s="97">
        <f>$I$115</f>
        <v>130.44588281249997</v>
      </c>
      <c r="N44" s="98">
        <f>$I$115</f>
        <v>130.44588281249997</v>
      </c>
    </row>
    <row r="45" spans="1:14" ht="15" x14ac:dyDescent="0.3">
      <c r="A45" s="1"/>
      <c r="B45" s="1" t="s">
        <v>69</v>
      </c>
      <c r="C45" s="1"/>
      <c r="D45" s="1"/>
      <c r="E45" s="1"/>
      <c r="F45" s="13" t="s">
        <v>20</v>
      </c>
      <c r="G45" s="1"/>
      <c r="H45" s="1"/>
      <c r="I45" s="1"/>
      <c r="J45" s="1"/>
      <c r="K45" s="97">
        <v>155</v>
      </c>
      <c r="L45" s="97">
        <v>205</v>
      </c>
      <c r="M45" s="97">
        <v>268</v>
      </c>
      <c r="N45" s="101">
        <v>268</v>
      </c>
    </row>
    <row r="46" spans="1:14" ht="15" x14ac:dyDescent="0.3">
      <c r="A46" s="1"/>
      <c r="B46" s="1" t="s">
        <v>61</v>
      </c>
      <c r="C46" s="1"/>
      <c r="D46" s="1"/>
      <c r="E46" s="1"/>
      <c r="F46" s="13"/>
      <c r="G46" s="1"/>
      <c r="H46" s="1"/>
      <c r="I46" s="1"/>
      <c r="J46" s="1"/>
      <c r="K46" s="97">
        <v>24</v>
      </c>
      <c r="L46" s="97">
        <v>24</v>
      </c>
      <c r="M46" s="97">
        <v>24</v>
      </c>
      <c r="N46" s="101">
        <v>24</v>
      </c>
    </row>
    <row r="47" spans="1:14" ht="5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02"/>
      <c r="L47" s="102"/>
      <c r="M47" s="102"/>
      <c r="N47" s="103"/>
    </row>
    <row r="48" spans="1:14" ht="13" x14ac:dyDescent="0.3">
      <c r="A48" s="9" t="s">
        <v>22</v>
      </c>
      <c r="B48" s="1"/>
      <c r="C48" s="1"/>
      <c r="D48" s="1"/>
      <c r="E48" s="1"/>
      <c r="F48" s="1"/>
      <c r="G48" s="1"/>
      <c r="H48" s="1"/>
      <c r="I48" s="1"/>
      <c r="J48" s="1"/>
      <c r="K48" s="97">
        <f>SUM(K42:K47)</f>
        <v>379.3246328125</v>
      </c>
      <c r="L48" s="97">
        <f>SUM(L42:L47)</f>
        <v>435.27413281249994</v>
      </c>
      <c r="M48" s="97">
        <f>SUM(M42:M47)</f>
        <v>504.2236328125</v>
      </c>
      <c r="N48" s="98">
        <f>SUM(N42:N47)</f>
        <v>505.00838281249997</v>
      </c>
    </row>
    <row r="49" spans="1:15" ht="5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97"/>
      <c r="L49" s="97"/>
      <c r="M49" s="97"/>
      <c r="N49" s="100"/>
    </row>
    <row r="50" spans="1:15" ht="13" x14ac:dyDescent="0.3">
      <c r="A50" s="9" t="s">
        <v>23</v>
      </c>
      <c r="B50" s="1"/>
      <c r="C50" s="1"/>
      <c r="D50" s="1"/>
      <c r="E50" s="1"/>
      <c r="F50" s="1"/>
      <c r="G50" s="63" t="s">
        <v>15</v>
      </c>
      <c r="H50" s="63"/>
      <c r="I50" s="1"/>
      <c r="J50" s="1"/>
      <c r="K50" s="97">
        <f>+K38+K48</f>
        <v>738.77374427999644</v>
      </c>
      <c r="L50" s="97">
        <f>+L38+L48</f>
        <v>846.91140661231339</v>
      </c>
      <c r="M50" s="97">
        <f>+M38+M48</f>
        <v>968.28063144463044</v>
      </c>
      <c r="N50" s="98">
        <f>+N38+N48</f>
        <v>966.78335671648006</v>
      </c>
    </row>
    <row r="51" spans="1:15" ht="13" x14ac:dyDescent="0.3">
      <c r="A51" s="9"/>
      <c r="B51" s="1"/>
      <c r="C51" s="1"/>
      <c r="D51" s="1"/>
      <c r="E51" s="1"/>
      <c r="F51" s="1"/>
      <c r="G51" s="63" t="s">
        <v>16</v>
      </c>
      <c r="H51" s="63"/>
      <c r="I51" s="1"/>
      <c r="J51" s="1"/>
      <c r="K51" s="97">
        <f>+K50/K8</f>
        <v>5.6611014887356053</v>
      </c>
      <c r="L51" s="97">
        <f>+L50/L8</f>
        <v>5.1925898627364404</v>
      </c>
      <c r="M51" s="97">
        <f>+M50/M8</f>
        <v>4.9477804366102731</v>
      </c>
      <c r="N51" s="98">
        <f>+N50/N8</f>
        <v>4.8339167835824002</v>
      </c>
    </row>
    <row r="52" spans="1:15" ht="5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97"/>
      <c r="L52" s="97"/>
      <c r="M52" s="97"/>
      <c r="N52" s="100"/>
    </row>
    <row r="53" spans="1:15" ht="15" x14ac:dyDescent="0.3">
      <c r="A53" s="9" t="s">
        <v>194</v>
      </c>
      <c r="B53" s="1"/>
      <c r="C53" s="1"/>
      <c r="D53" s="1"/>
      <c r="E53" s="1"/>
      <c r="F53" s="1"/>
      <c r="G53" s="1"/>
      <c r="H53" s="1"/>
      <c r="I53" s="1"/>
      <c r="J53" s="1"/>
      <c r="K53" s="97">
        <f>+K15-K38</f>
        <v>138.12588853250361</v>
      </c>
      <c r="L53" s="97">
        <f>+L15-L38</f>
        <v>204.92772620018644</v>
      </c>
      <c r="M53" s="97">
        <f>+M15-M38</f>
        <v>271.49800136786945</v>
      </c>
      <c r="N53" s="199">
        <f>+N15-N38</f>
        <v>289.47502609601986</v>
      </c>
    </row>
    <row r="54" spans="1:15" ht="13" x14ac:dyDescent="0.3">
      <c r="A54" s="9" t="s">
        <v>146</v>
      </c>
      <c r="B54" s="1"/>
      <c r="C54" s="1"/>
      <c r="D54" s="1"/>
      <c r="E54" s="1"/>
      <c r="F54" s="1"/>
      <c r="G54" s="1"/>
      <c r="H54" s="1"/>
      <c r="I54" s="1"/>
      <c r="J54" s="1"/>
      <c r="K54" s="97">
        <f>K15-(K38+K45)</f>
        <v>-16.874111467496334</v>
      </c>
      <c r="L54" s="97">
        <f>L15-(L38+L45)</f>
        <v>-7.2273799813615369E-2</v>
      </c>
      <c r="M54" s="97">
        <f>M15-(M38+M45)</f>
        <v>3.4980013678695059</v>
      </c>
      <c r="N54" s="197">
        <f>N15-(N38+N45)</f>
        <v>21.47502609601986</v>
      </c>
    </row>
    <row r="55" spans="1:15" ht="13" x14ac:dyDescent="0.3">
      <c r="A55" s="9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97">
        <f>+K15-K50</f>
        <v>-241.19874427999645</v>
      </c>
      <c r="L55" s="97">
        <f>+L15-L50</f>
        <v>-230.34640661231344</v>
      </c>
      <c r="M55" s="97">
        <f>+M15-M50</f>
        <v>-232.72563144463049</v>
      </c>
      <c r="N55" s="197">
        <f>+N15-N50</f>
        <v>-215.53335671648006</v>
      </c>
    </row>
    <row r="56" spans="1:15" ht="13" x14ac:dyDescent="0.3">
      <c r="A56" s="168" t="s">
        <v>84</v>
      </c>
      <c r="B56" s="1"/>
      <c r="C56" s="1"/>
      <c r="D56" s="1"/>
      <c r="E56" s="1"/>
      <c r="F56" s="1"/>
      <c r="G56" s="1"/>
      <c r="H56" s="1"/>
      <c r="I56" s="1"/>
      <c r="J56" s="1"/>
      <c r="K56" s="97">
        <f>K55+K45</f>
        <v>-86.198744279996447</v>
      </c>
      <c r="L56" s="97">
        <f>L55+L45</f>
        <v>-25.346406612313444</v>
      </c>
      <c r="M56" s="97">
        <f>M55+M45</f>
        <v>35.274368555369506</v>
      </c>
      <c r="N56" s="100">
        <f>N55+N45</f>
        <v>52.466643283519943</v>
      </c>
    </row>
    <row r="57" spans="1:15" ht="13" x14ac:dyDescent="0.3">
      <c r="A57" s="168" t="s">
        <v>193</v>
      </c>
      <c r="B57" s="1"/>
      <c r="C57" s="1"/>
      <c r="D57" s="1"/>
      <c r="E57" s="1"/>
      <c r="F57" s="1"/>
      <c r="G57" s="1"/>
      <c r="H57" s="1"/>
      <c r="I57" s="1"/>
      <c r="J57" s="1"/>
      <c r="K57" s="97">
        <f>K55+K42+K43</f>
        <v>-171.31999427999645</v>
      </c>
      <c r="L57" s="97">
        <f>L55+L42+L43</f>
        <v>-154.51815661231345</v>
      </c>
      <c r="M57" s="97">
        <f>M55+M42+M43</f>
        <v>-150.9478814446305</v>
      </c>
      <c r="N57" s="100">
        <f>N55+N42+N43</f>
        <v>-132.97085671648006</v>
      </c>
    </row>
    <row r="58" spans="1:15" ht="12.75" customHeight="1" x14ac:dyDescent="0.3">
      <c r="A58" s="185" t="s">
        <v>134</v>
      </c>
      <c r="B58" s="7"/>
      <c r="C58" s="7"/>
      <c r="D58" s="7"/>
      <c r="E58" s="7"/>
      <c r="F58" s="7"/>
      <c r="G58" s="185"/>
      <c r="H58" s="186"/>
      <c r="I58" s="7"/>
      <c r="J58" s="7"/>
      <c r="K58" s="187">
        <f>K55+K42+K43+K45</f>
        <v>-16.31999427999645</v>
      </c>
      <c r="L58" s="187">
        <f>L55+L42+L43+L45</f>
        <v>50.481843387686553</v>
      </c>
      <c r="M58" s="187">
        <f>M55+M42+M43+M45</f>
        <v>117.0521185553695</v>
      </c>
      <c r="N58" s="198">
        <f>N55+N42+N43+N45</f>
        <v>135.02914328351994</v>
      </c>
      <c r="O58" s="4"/>
    </row>
    <row r="59" spans="1:15" x14ac:dyDescent="0.25">
      <c r="A59" s="16" t="s">
        <v>70</v>
      </c>
      <c r="B59" s="16"/>
      <c r="C59" s="16"/>
      <c r="D59" s="65"/>
      <c r="E59" s="16"/>
      <c r="F59" s="16"/>
      <c r="G59" s="16"/>
      <c r="H59" s="16"/>
      <c r="I59" s="16"/>
      <c r="J59" s="16"/>
      <c r="K59" s="16"/>
      <c r="L59" s="17"/>
      <c r="M59" s="17"/>
      <c r="N59" s="17"/>
      <c r="O59" s="1"/>
    </row>
    <row r="60" spans="1:15" x14ac:dyDescent="0.25">
      <c r="B60" s="16" t="s">
        <v>71</v>
      </c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"/>
    </row>
    <row r="61" spans="1:15" x14ac:dyDescent="0.25">
      <c r="A61" s="16" t="s">
        <v>137</v>
      </c>
      <c r="B61" s="16"/>
      <c r="C61" s="16"/>
      <c r="D61" s="64"/>
      <c r="E61" s="36"/>
      <c r="F61" s="16"/>
      <c r="G61" s="16"/>
      <c r="H61" s="16"/>
      <c r="I61" s="16"/>
      <c r="J61" s="16"/>
      <c r="K61" s="16"/>
      <c r="L61" s="17"/>
      <c r="M61" s="17"/>
      <c r="N61" s="17"/>
      <c r="O61" s="1"/>
    </row>
    <row r="62" spans="1:15" x14ac:dyDescent="0.25">
      <c r="A62" s="16"/>
      <c r="B62" s="16" t="s">
        <v>73</v>
      </c>
      <c r="C62" s="16"/>
      <c r="D62" s="36"/>
      <c r="E62" s="36"/>
      <c r="F62" s="16"/>
      <c r="G62" s="16"/>
      <c r="H62" s="16"/>
      <c r="I62" s="16"/>
      <c r="J62" s="16"/>
      <c r="K62" s="16"/>
      <c r="L62" s="17"/>
      <c r="M62" s="17"/>
      <c r="N62" s="17"/>
      <c r="O62" s="1"/>
    </row>
    <row r="63" spans="1:15" x14ac:dyDescent="0.25">
      <c r="A63" s="16" t="s">
        <v>72</v>
      </c>
      <c r="B63" s="16"/>
      <c r="C63" s="16"/>
      <c r="D63" s="80"/>
      <c r="E63" s="16"/>
      <c r="F63" s="16"/>
      <c r="G63" s="16"/>
      <c r="H63" s="16"/>
      <c r="I63" s="16"/>
      <c r="J63" s="16"/>
      <c r="K63" s="16"/>
      <c r="L63" s="17"/>
      <c r="M63" s="17"/>
      <c r="N63" s="17"/>
      <c r="O63" s="1"/>
    </row>
    <row r="64" spans="1:15" ht="13.5" x14ac:dyDescent="0.25">
      <c r="A64" s="15">
        <v>1</v>
      </c>
      <c r="B64" s="16" t="s">
        <v>136</v>
      </c>
      <c r="C64" s="16"/>
      <c r="D64" s="36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"/>
    </row>
    <row r="65" spans="1:15" x14ac:dyDescent="0.25">
      <c r="B65" s="16" t="s">
        <v>172</v>
      </c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"/>
    </row>
    <row r="66" spans="1:15" ht="13.5" x14ac:dyDescent="0.25">
      <c r="A66" s="15">
        <v>2</v>
      </c>
      <c r="B66" s="16" t="s">
        <v>191</v>
      </c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"/>
    </row>
    <row r="67" spans="1:15" ht="13.5" x14ac:dyDescent="0.25">
      <c r="A67" s="15">
        <v>3</v>
      </c>
      <c r="B67" s="16" t="s">
        <v>151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6"/>
    </row>
    <row r="68" spans="1:15" ht="13.5" x14ac:dyDescent="0.25">
      <c r="A68" s="15"/>
      <c r="B68" s="16"/>
      <c r="C68" s="16" t="s">
        <v>82</v>
      </c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7"/>
      <c r="O68" s="16"/>
    </row>
    <row r="69" spans="1:15" ht="13.5" x14ac:dyDescent="0.25">
      <c r="A69" s="15">
        <v>4</v>
      </c>
      <c r="B69" s="16" t="s">
        <v>25</v>
      </c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6"/>
    </row>
    <row r="70" spans="1:15" x14ac:dyDescent="0.25">
      <c r="A70" s="16"/>
      <c r="B70" s="16"/>
      <c r="C70" s="16" t="s">
        <v>169</v>
      </c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6"/>
    </row>
    <row r="71" spans="1:15" x14ac:dyDescent="0.25">
      <c r="A71" s="16"/>
      <c r="B71" s="16"/>
      <c r="C71" s="16" t="s">
        <v>152</v>
      </c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6"/>
    </row>
    <row r="72" spans="1:15" x14ac:dyDescent="0.25">
      <c r="A72" s="16"/>
      <c r="B72" s="16"/>
      <c r="C72" s="16" t="s">
        <v>86</v>
      </c>
      <c r="D72" s="16"/>
      <c r="E72" s="16"/>
      <c r="F72" s="65">
        <v>750</v>
      </c>
      <c r="G72" s="109" t="s">
        <v>87</v>
      </c>
      <c r="H72" s="16"/>
      <c r="I72" s="65">
        <v>590</v>
      </c>
      <c r="J72" s="109" t="s">
        <v>88</v>
      </c>
      <c r="K72" s="109"/>
      <c r="L72" s="17"/>
      <c r="M72" s="111">
        <v>480</v>
      </c>
      <c r="N72" s="110" t="s">
        <v>12</v>
      </c>
      <c r="O72" s="16"/>
    </row>
    <row r="73" spans="1:15" x14ac:dyDescent="0.25">
      <c r="A73" s="16"/>
      <c r="B73" s="16"/>
      <c r="C73" s="16" t="s">
        <v>90</v>
      </c>
      <c r="D73" s="16"/>
      <c r="E73" s="16"/>
      <c r="F73" s="36"/>
      <c r="G73" s="109"/>
      <c r="H73" s="16"/>
      <c r="I73" s="36"/>
      <c r="J73" s="109"/>
      <c r="K73" s="109"/>
      <c r="L73" s="17"/>
      <c r="M73" s="115"/>
      <c r="N73" s="110"/>
      <c r="O73" s="16"/>
    </row>
    <row r="74" spans="1:15" ht="13.5" x14ac:dyDescent="0.25">
      <c r="A74" s="15">
        <v>5</v>
      </c>
      <c r="B74" s="16" t="s">
        <v>145</v>
      </c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7"/>
      <c r="N74" s="17"/>
      <c r="O74" s="16"/>
    </row>
    <row r="75" spans="1:15" ht="13.5" x14ac:dyDescent="0.25">
      <c r="A75" s="18">
        <v>6</v>
      </c>
      <c r="B75" s="19" t="s">
        <v>173</v>
      </c>
      <c r="C75" s="19"/>
      <c r="D75" s="19"/>
      <c r="E75" s="19"/>
      <c r="F75" s="16"/>
      <c r="G75" s="16"/>
      <c r="H75" s="16"/>
      <c r="I75" s="16"/>
      <c r="J75" s="16"/>
      <c r="K75" s="16"/>
      <c r="L75" s="17"/>
      <c r="M75" s="17"/>
      <c r="N75" s="17"/>
      <c r="O75" s="16"/>
    </row>
    <row r="76" spans="1:15" ht="13.5" x14ac:dyDescent="0.25">
      <c r="A76" s="18"/>
      <c r="B76" s="19"/>
      <c r="C76" s="19" t="s">
        <v>26</v>
      </c>
      <c r="D76" s="19"/>
      <c r="E76" s="19"/>
      <c r="F76" s="16"/>
      <c r="G76" s="16"/>
      <c r="H76" s="16"/>
      <c r="I76" s="16"/>
      <c r="J76" s="16"/>
      <c r="K76" s="16"/>
      <c r="L76" s="17"/>
      <c r="M76" s="17"/>
      <c r="N76" s="17"/>
      <c r="O76" s="16"/>
    </row>
    <row r="77" spans="1:15" ht="13.5" x14ac:dyDescent="0.25">
      <c r="A77" s="59">
        <v>7</v>
      </c>
      <c r="B77" s="19" t="s">
        <v>154</v>
      </c>
      <c r="C77" s="19"/>
      <c r="D77" s="19"/>
      <c r="E77" s="19"/>
      <c r="F77" s="16"/>
      <c r="G77" s="16"/>
      <c r="H77" s="16"/>
      <c r="I77" s="16"/>
      <c r="J77" s="16"/>
      <c r="K77" s="16"/>
      <c r="L77" s="17"/>
      <c r="M77" s="17"/>
      <c r="N77" s="17"/>
      <c r="O77" s="16"/>
    </row>
    <row r="78" spans="1:15" ht="13.5" x14ac:dyDescent="0.25">
      <c r="A78" s="15">
        <v>8</v>
      </c>
      <c r="B78" s="16" t="s">
        <v>153</v>
      </c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7"/>
      <c r="O78" s="16"/>
    </row>
    <row r="79" spans="1:15" ht="13.5" x14ac:dyDescent="0.25">
      <c r="A79" s="15">
        <v>9</v>
      </c>
      <c r="B79" s="16" t="s">
        <v>27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7"/>
      <c r="O79" s="16"/>
    </row>
    <row r="80" spans="1:15" ht="13.5" x14ac:dyDescent="0.25">
      <c r="A80" s="15">
        <v>10</v>
      </c>
      <c r="B80" s="16" t="s">
        <v>171</v>
      </c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7"/>
      <c r="O80" s="16"/>
    </row>
    <row r="81" spans="1:15" ht="13.5" x14ac:dyDescent="0.25">
      <c r="A81" s="15">
        <v>11</v>
      </c>
      <c r="B81" s="16" t="s">
        <v>175</v>
      </c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7"/>
      <c r="O81" s="16"/>
    </row>
    <row r="82" spans="1:15" ht="13.5" x14ac:dyDescent="0.25">
      <c r="A82" s="15"/>
      <c r="B82" s="16"/>
      <c r="C82" s="16" t="s">
        <v>176</v>
      </c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6"/>
    </row>
    <row r="83" spans="1:15" ht="13.5" x14ac:dyDescent="0.25">
      <c r="A83" s="15">
        <v>12</v>
      </c>
      <c r="B83" s="16" t="s">
        <v>125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6"/>
    </row>
    <row r="84" spans="1:15" ht="13.5" x14ac:dyDescent="0.25">
      <c r="A84" s="15">
        <v>13</v>
      </c>
      <c r="B84" s="16" t="s">
        <v>177</v>
      </c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6"/>
    </row>
    <row r="85" spans="1:15" x14ac:dyDescent="0.25">
      <c r="A85" s="16"/>
      <c r="B85" s="16"/>
      <c r="C85" s="16" t="s">
        <v>178</v>
      </c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6"/>
    </row>
    <row r="86" spans="1:15" ht="13.5" x14ac:dyDescent="0.25">
      <c r="A86" s="15"/>
      <c r="C86" s="16" t="s">
        <v>83</v>
      </c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6"/>
    </row>
    <row r="87" spans="1:15" ht="13.5" x14ac:dyDescent="0.25">
      <c r="A87" s="15">
        <v>14</v>
      </c>
      <c r="B87" s="16" t="s">
        <v>156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6"/>
    </row>
    <row r="88" spans="1:15" ht="13.5" x14ac:dyDescent="0.25">
      <c r="A88" s="15">
        <v>15</v>
      </c>
      <c r="B88" s="16" t="s">
        <v>180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6"/>
    </row>
    <row r="89" spans="1:15" ht="13.5" x14ac:dyDescent="0.25">
      <c r="A89" s="15"/>
      <c r="B89" s="16"/>
      <c r="C89" s="16" t="s">
        <v>27</v>
      </c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</row>
    <row r="90" spans="1:15" ht="13.5" x14ac:dyDescent="0.25">
      <c r="A90" s="15">
        <v>16</v>
      </c>
      <c r="B90" s="16" t="s">
        <v>155</v>
      </c>
      <c r="C90" s="16"/>
      <c r="D90" s="1"/>
      <c r="E90" s="1"/>
      <c r="F90" s="1"/>
      <c r="G90" s="1"/>
      <c r="H90" s="1"/>
      <c r="I90" s="1"/>
      <c r="J90" s="1"/>
      <c r="K90" s="1"/>
      <c r="L90" s="2"/>
      <c r="M90" s="2"/>
      <c r="N90" s="17"/>
      <c r="O90" s="16"/>
    </row>
    <row r="91" spans="1:15" ht="13.5" x14ac:dyDescent="0.25">
      <c r="A91" s="15"/>
      <c r="C91" s="16" t="s">
        <v>126</v>
      </c>
      <c r="D91" s="1"/>
      <c r="E91" s="1"/>
      <c r="F91" s="1"/>
      <c r="G91" s="1"/>
      <c r="H91" s="1"/>
      <c r="I91" s="1"/>
      <c r="J91" s="1"/>
      <c r="K91" s="1"/>
      <c r="L91" s="2"/>
      <c r="M91" s="2"/>
      <c r="N91" s="17"/>
      <c r="O91" s="16"/>
    </row>
    <row r="92" spans="1:15" ht="13.5" x14ac:dyDescent="0.25">
      <c r="A92" s="15">
        <v>17</v>
      </c>
      <c r="B92" s="16" t="s">
        <v>184</v>
      </c>
      <c r="C92" s="16"/>
      <c r="D92" s="1"/>
      <c r="E92" s="1"/>
      <c r="F92" s="1"/>
      <c r="G92" s="1"/>
      <c r="H92" s="1"/>
      <c r="I92" s="1"/>
      <c r="J92" s="1"/>
      <c r="K92" s="1"/>
      <c r="L92" s="2"/>
      <c r="M92" s="2"/>
      <c r="N92" s="17"/>
      <c r="O92" s="16"/>
    </row>
    <row r="93" spans="1:15" ht="13.5" x14ac:dyDescent="0.25">
      <c r="A93" s="15"/>
      <c r="B93" s="16" t="s">
        <v>182</v>
      </c>
      <c r="C93" s="16"/>
      <c r="D93" s="1"/>
      <c r="E93" s="1"/>
      <c r="F93" s="1"/>
      <c r="G93" s="1"/>
      <c r="H93" s="1"/>
      <c r="I93" s="1"/>
      <c r="J93" s="1"/>
      <c r="K93" s="1"/>
      <c r="L93" s="2"/>
      <c r="M93" s="2"/>
      <c r="N93" s="17"/>
      <c r="O93" s="16"/>
    </row>
    <row r="94" spans="1:15" ht="13.5" x14ac:dyDescent="0.25">
      <c r="A94" s="15"/>
      <c r="B94" s="16" t="s">
        <v>183</v>
      </c>
      <c r="C94" s="16"/>
      <c r="D94" s="1"/>
      <c r="E94" s="1"/>
      <c r="F94" s="1"/>
      <c r="G94" s="1"/>
      <c r="H94" s="1"/>
      <c r="I94" s="1"/>
      <c r="J94" s="1"/>
      <c r="K94" s="1"/>
      <c r="L94" s="2"/>
      <c r="M94" s="2"/>
      <c r="N94" s="17"/>
      <c r="O94" s="16"/>
    </row>
    <row r="95" spans="1:15" ht="13.5" x14ac:dyDescent="0.25">
      <c r="A95" s="15"/>
      <c r="B95" s="16" t="s">
        <v>181</v>
      </c>
      <c r="C95" s="16"/>
      <c r="D95" s="1"/>
      <c r="E95" s="1"/>
      <c r="F95" s="1"/>
      <c r="G95" s="1"/>
      <c r="H95" s="1"/>
      <c r="I95" s="1"/>
      <c r="J95" s="1"/>
      <c r="K95" s="1"/>
      <c r="L95" s="2"/>
      <c r="M95" s="2"/>
      <c r="N95" s="17"/>
      <c r="O95" s="16"/>
    </row>
    <row r="96" spans="1:15" x14ac:dyDescent="0.25">
      <c r="B96" s="16" t="s">
        <v>185</v>
      </c>
      <c r="E96" s="16"/>
      <c r="F96" s="16"/>
      <c r="G96" s="16"/>
      <c r="H96" s="16"/>
      <c r="I96" s="16"/>
      <c r="J96" s="16"/>
      <c r="K96" s="16"/>
      <c r="L96" s="17"/>
      <c r="M96" s="17"/>
      <c r="N96" s="17"/>
      <c r="O96" s="16"/>
    </row>
    <row r="97" spans="1:15" ht="13.5" x14ac:dyDescent="0.25">
      <c r="A97" s="15"/>
      <c r="B97" s="16" t="s">
        <v>186</v>
      </c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7"/>
      <c r="N97" s="17"/>
      <c r="O97" s="16"/>
    </row>
    <row r="98" spans="1:15" ht="13.5" x14ac:dyDescent="0.25">
      <c r="A98" s="15"/>
      <c r="B98" s="16"/>
      <c r="C98" s="16" t="s">
        <v>187</v>
      </c>
      <c r="D98" s="16"/>
      <c r="E98" s="16"/>
      <c r="F98" s="16"/>
      <c r="G98" s="16"/>
      <c r="H98" s="16"/>
      <c r="I98" s="16"/>
      <c r="J98" s="16"/>
      <c r="K98" s="16"/>
      <c r="L98" s="17"/>
      <c r="M98" s="17"/>
      <c r="N98" s="17"/>
      <c r="O98" s="16"/>
    </row>
    <row r="99" spans="1:15" x14ac:dyDescent="0.25">
      <c r="A99" s="20"/>
      <c r="B99" s="20"/>
      <c r="C99" s="89"/>
      <c r="D99" s="20"/>
      <c r="E99" s="20"/>
      <c r="F99" s="20"/>
      <c r="G99" s="21" t="s">
        <v>28</v>
      </c>
      <c r="H99" s="20"/>
      <c r="I99" s="20"/>
      <c r="J99" s="20"/>
      <c r="K99" s="20"/>
      <c r="L99" s="22"/>
      <c r="M99" s="22"/>
      <c r="N99" s="46"/>
      <c r="O99" s="47"/>
    </row>
    <row r="100" spans="1:15" ht="25.5" customHeight="1" x14ac:dyDescent="0.25">
      <c r="A100" s="16"/>
      <c r="B100" s="16"/>
      <c r="C100" s="16"/>
      <c r="D100" s="16"/>
      <c r="E100" s="41" t="s">
        <v>29</v>
      </c>
      <c r="F100" s="23" t="s">
        <v>51</v>
      </c>
      <c r="G100" s="41" t="s">
        <v>48</v>
      </c>
      <c r="H100" s="41"/>
      <c r="I100" s="105" t="s">
        <v>49</v>
      </c>
      <c r="J100" s="23" t="s">
        <v>52</v>
      </c>
      <c r="K100" s="23" t="s">
        <v>40</v>
      </c>
      <c r="L100" s="128" t="s">
        <v>100</v>
      </c>
      <c r="M100" s="23" t="s">
        <v>30</v>
      </c>
      <c r="N100" s="17"/>
      <c r="O100" s="16"/>
    </row>
    <row r="101" spans="1:15" x14ac:dyDescent="0.25">
      <c r="A101" s="16"/>
      <c r="B101" s="92" t="s">
        <v>128</v>
      </c>
      <c r="C101" s="92"/>
      <c r="D101" s="92"/>
      <c r="E101" s="93">
        <v>1</v>
      </c>
      <c r="F101" s="94">
        <v>50500</v>
      </c>
      <c r="G101" s="175">
        <v>1000</v>
      </c>
      <c r="H101" s="95"/>
      <c r="I101" s="84">
        <f>'machinery costs'!K2</f>
        <v>6.8601093749999995</v>
      </c>
      <c r="J101" s="96">
        <v>20.97</v>
      </c>
      <c r="K101" s="123">
        <f>0.64*E101</f>
        <v>0.64</v>
      </c>
      <c r="L101" s="129">
        <f>(G101*E101)/J101</f>
        <v>47.687172150691467</v>
      </c>
      <c r="M101" s="123">
        <f>0.74*E101</f>
        <v>0.74</v>
      </c>
      <c r="N101" s="17"/>
      <c r="O101" s="16"/>
    </row>
    <row r="102" spans="1:15" x14ac:dyDescent="0.25">
      <c r="A102" s="16"/>
      <c r="B102" s="65" t="s">
        <v>139</v>
      </c>
      <c r="C102" s="65"/>
      <c r="D102" s="65"/>
      <c r="E102" s="81">
        <v>1</v>
      </c>
      <c r="F102" s="82">
        <v>75500</v>
      </c>
      <c r="G102" s="176">
        <v>1000</v>
      </c>
      <c r="H102" s="38"/>
      <c r="I102" s="84">
        <f>'machinery costs'!K3</f>
        <v>10.256203125000001</v>
      </c>
      <c r="J102" s="85">
        <v>43.27</v>
      </c>
      <c r="K102" s="124">
        <f>0.34*E102</f>
        <v>0.34</v>
      </c>
      <c r="L102" s="130">
        <f t="shared" ref="L102:L108" si="0">(G102*E102)/J102</f>
        <v>23.110700254217701</v>
      </c>
      <c r="M102" s="124">
        <f>0.56*E102</f>
        <v>0.56000000000000005</v>
      </c>
      <c r="N102" s="17"/>
      <c r="O102" s="16"/>
    </row>
    <row r="103" spans="1:15" x14ac:dyDescent="0.25">
      <c r="A103" s="16"/>
      <c r="B103" s="65" t="s">
        <v>129</v>
      </c>
      <c r="C103" s="65"/>
      <c r="D103" s="65"/>
      <c r="E103" s="81">
        <v>2</v>
      </c>
      <c r="F103" s="82">
        <v>242500</v>
      </c>
      <c r="G103" s="176">
        <v>2000</v>
      </c>
      <c r="H103" s="38"/>
      <c r="I103" s="84">
        <f>'machinery costs'!K4</f>
        <v>16.471054687500001</v>
      </c>
      <c r="J103" s="85">
        <v>44.12</v>
      </c>
      <c r="K103" s="124">
        <f>0.07*E103</f>
        <v>0.14000000000000001</v>
      </c>
      <c r="L103" s="130">
        <f t="shared" si="0"/>
        <v>90.66183136899366</v>
      </c>
      <c r="M103" s="124">
        <f>E103*3.15</f>
        <v>6.3</v>
      </c>
      <c r="N103" s="17"/>
      <c r="O103" s="16"/>
    </row>
    <row r="104" spans="1:15" x14ac:dyDescent="0.25">
      <c r="A104" s="16"/>
      <c r="B104" s="65" t="s">
        <v>140</v>
      </c>
      <c r="C104" s="65"/>
      <c r="D104" s="65"/>
      <c r="E104" s="81">
        <v>1</v>
      </c>
      <c r="F104" s="82">
        <v>105500</v>
      </c>
      <c r="G104" s="176">
        <v>1000</v>
      </c>
      <c r="H104" s="38"/>
      <c r="I104" s="84">
        <f>'machinery costs'!K5</f>
        <v>13.3589375</v>
      </c>
      <c r="J104" s="85">
        <v>14</v>
      </c>
      <c r="K104" s="124">
        <f>0.53*E104</f>
        <v>0.53</v>
      </c>
      <c r="L104" s="130">
        <f t="shared" si="0"/>
        <v>71.428571428571431</v>
      </c>
      <c r="M104" s="124">
        <f>3.6*E104</f>
        <v>3.6</v>
      </c>
      <c r="N104" s="17"/>
      <c r="O104" s="16"/>
    </row>
    <row r="105" spans="1:15" x14ac:dyDescent="0.25">
      <c r="A105" s="16"/>
      <c r="B105" s="65" t="s">
        <v>144</v>
      </c>
      <c r="C105" s="65"/>
      <c r="D105" s="65"/>
      <c r="E105" s="81">
        <v>1</v>
      </c>
      <c r="F105" s="82">
        <v>360000</v>
      </c>
      <c r="G105" s="176">
        <v>2000</v>
      </c>
      <c r="H105" s="38"/>
      <c r="I105" s="84">
        <f>'machinery costs'!K6</f>
        <v>25.2815625</v>
      </c>
      <c r="J105" s="60" t="s">
        <v>59</v>
      </c>
      <c r="K105" s="122" t="s">
        <v>59</v>
      </c>
      <c r="L105" s="134">
        <f>L106</f>
        <v>147.27540500736376</v>
      </c>
      <c r="M105" s="125">
        <f>(L105*60.06)/1000</f>
        <v>8.8453608247422668</v>
      </c>
      <c r="N105" s="17"/>
      <c r="O105" s="16"/>
    </row>
    <row r="106" spans="1:15" x14ac:dyDescent="0.25">
      <c r="A106" s="16"/>
      <c r="B106" s="65"/>
      <c r="C106" s="65" t="s">
        <v>141</v>
      </c>
      <c r="D106" s="65"/>
      <c r="E106" s="81">
        <v>1</v>
      </c>
      <c r="F106" s="82">
        <v>59000</v>
      </c>
      <c r="G106" s="176">
        <v>1000</v>
      </c>
      <c r="H106" s="38"/>
      <c r="I106" s="84">
        <f>'machinery costs'!K7</f>
        <v>8.286734375</v>
      </c>
      <c r="J106" s="86">
        <v>6.79</v>
      </c>
      <c r="K106" s="124">
        <f>1.88*E106</f>
        <v>1.88</v>
      </c>
      <c r="L106" s="130">
        <f t="shared" si="0"/>
        <v>147.27540500736376</v>
      </c>
      <c r="M106" s="125">
        <f>1.01*E106</f>
        <v>1.01</v>
      </c>
      <c r="N106" s="17"/>
      <c r="O106" s="16"/>
    </row>
    <row r="107" spans="1:15" x14ac:dyDescent="0.25">
      <c r="A107" s="16"/>
      <c r="B107" s="65" t="s">
        <v>127</v>
      </c>
      <c r="C107" s="65"/>
      <c r="D107" s="65"/>
      <c r="E107" s="81">
        <v>1</v>
      </c>
      <c r="F107" s="82">
        <v>21000</v>
      </c>
      <c r="G107" s="176">
        <v>1000</v>
      </c>
      <c r="H107" s="38"/>
      <c r="I107" s="84">
        <f>'machinery costs'!K8</f>
        <v>2.8527187500000006</v>
      </c>
      <c r="J107" s="86">
        <v>18</v>
      </c>
      <c r="K107" s="124">
        <f>0.6*E107</f>
        <v>0.6</v>
      </c>
      <c r="L107" s="130">
        <f t="shared" si="0"/>
        <v>55.555555555555557</v>
      </c>
      <c r="M107" s="125">
        <f>0.21*E107</f>
        <v>0.21</v>
      </c>
      <c r="N107" s="17"/>
      <c r="O107" s="16"/>
    </row>
    <row r="108" spans="1:15" x14ac:dyDescent="0.25">
      <c r="A108" s="16"/>
      <c r="B108" s="65" t="s">
        <v>55</v>
      </c>
      <c r="C108" s="65"/>
      <c r="D108" s="65"/>
      <c r="E108" s="81">
        <v>1</v>
      </c>
      <c r="F108" s="82">
        <v>12000</v>
      </c>
      <c r="G108" s="176">
        <v>2000</v>
      </c>
      <c r="H108" s="38"/>
      <c r="I108" s="84">
        <f>'machinery costs'!K9</f>
        <v>0.81506249999999991</v>
      </c>
      <c r="J108" s="86">
        <v>34</v>
      </c>
      <c r="K108" s="124">
        <f>0.12*E108</f>
        <v>0.12</v>
      </c>
      <c r="L108" s="130">
        <f t="shared" si="0"/>
        <v>58.823529411764703</v>
      </c>
      <c r="M108" s="125">
        <v>0.15</v>
      </c>
      <c r="N108" s="17"/>
      <c r="O108" s="16"/>
    </row>
    <row r="109" spans="1:15" x14ac:dyDescent="0.25">
      <c r="A109" s="16"/>
      <c r="B109" s="65" t="s">
        <v>123</v>
      </c>
      <c r="C109" s="65"/>
      <c r="D109" s="65"/>
      <c r="E109" s="81">
        <v>1</v>
      </c>
      <c r="F109" s="82">
        <v>70000</v>
      </c>
      <c r="G109" s="176">
        <v>2000</v>
      </c>
      <c r="H109" s="38"/>
      <c r="I109" s="84">
        <f>'machinery costs'!K10</f>
        <v>4.6900000000000004</v>
      </c>
      <c r="J109" s="60" t="s">
        <v>59</v>
      </c>
      <c r="K109" s="120" t="s">
        <v>44</v>
      </c>
      <c r="L109" s="131" t="s">
        <v>59</v>
      </c>
      <c r="M109" s="125">
        <v>3.5</v>
      </c>
      <c r="N109" s="17"/>
      <c r="O109" s="16"/>
    </row>
    <row r="110" spans="1:15" x14ac:dyDescent="0.25">
      <c r="A110" s="16"/>
      <c r="B110" s="65" t="s">
        <v>124</v>
      </c>
      <c r="C110" s="65"/>
      <c r="D110" s="65"/>
      <c r="E110" s="81">
        <v>1</v>
      </c>
      <c r="F110" s="82">
        <v>50500</v>
      </c>
      <c r="G110" s="176">
        <v>2000</v>
      </c>
      <c r="H110" s="38"/>
      <c r="I110" s="84">
        <f>'machinery costs'!K11</f>
        <v>3.3835000000000006</v>
      </c>
      <c r="J110" s="60" t="s">
        <v>59</v>
      </c>
      <c r="K110" s="179">
        <f>(L110*9.9)/1000</f>
        <v>0.72901325478645063</v>
      </c>
      <c r="L110" s="178">
        <f>L106*0.5</f>
        <v>73.637702503681879</v>
      </c>
      <c r="M110" s="125">
        <v>1</v>
      </c>
      <c r="N110" s="17"/>
      <c r="O110" s="16"/>
    </row>
    <row r="111" spans="1:15" x14ac:dyDescent="0.25">
      <c r="A111" s="16"/>
      <c r="B111" s="65" t="s">
        <v>142</v>
      </c>
      <c r="C111" s="65"/>
      <c r="D111" s="65"/>
      <c r="E111" s="81">
        <v>3</v>
      </c>
      <c r="F111" s="82">
        <v>274000</v>
      </c>
      <c r="G111" s="176">
        <v>2000</v>
      </c>
      <c r="H111" s="38"/>
      <c r="I111" s="84">
        <f>'machinery costs'!K12</f>
        <v>18.358000000000004</v>
      </c>
      <c r="J111" s="61" t="s">
        <v>59</v>
      </c>
      <c r="K111" s="121" t="s">
        <v>59</v>
      </c>
      <c r="L111" s="134">
        <f>L101+L107+L110</f>
        <v>176.8804302099289</v>
      </c>
      <c r="M111" s="125">
        <f>(L111*4.38)/G111</f>
        <v>0.3873681421597443</v>
      </c>
      <c r="N111" s="17"/>
      <c r="O111" s="16"/>
    </row>
    <row r="112" spans="1:15" x14ac:dyDescent="0.25">
      <c r="A112" s="16"/>
      <c r="B112" s="65" t="s">
        <v>130</v>
      </c>
      <c r="C112" s="65"/>
      <c r="D112" s="65"/>
      <c r="E112" s="81">
        <v>3</v>
      </c>
      <c r="F112" s="82">
        <v>266000</v>
      </c>
      <c r="G112" s="176">
        <v>2000</v>
      </c>
      <c r="H112" s="38"/>
      <c r="I112" s="84">
        <f>'machinery costs'!K13</f>
        <v>17.821999999999996</v>
      </c>
      <c r="J112" s="61" t="s">
        <v>59</v>
      </c>
      <c r="K112" s="121" t="s">
        <v>59</v>
      </c>
      <c r="L112" s="134">
        <f>L102+L104+L108</f>
        <v>153.36280109455384</v>
      </c>
      <c r="M112" s="125">
        <f>(L112*4.26)/G112</f>
        <v>0.32666276633139968</v>
      </c>
      <c r="N112" s="17"/>
      <c r="O112" s="16"/>
    </row>
    <row r="113" spans="1:15" x14ac:dyDescent="0.25">
      <c r="A113" s="16"/>
      <c r="B113" s="90" t="s">
        <v>147</v>
      </c>
      <c r="C113" s="90"/>
      <c r="D113" s="90"/>
      <c r="E113" s="91">
        <v>1</v>
      </c>
      <c r="F113" s="83">
        <v>30000</v>
      </c>
      <c r="G113" s="177">
        <v>2000</v>
      </c>
      <c r="H113" s="39"/>
      <c r="I113" s="140">
        <f>'machinery costs'!K14</f>
        <v>2.0099999999999998</v>
      </c>
      <c r="J113" s="62" t="s">
        <v>59</v>
      </c>
      <c r="K113" s="127">
        <f>0.21*E113</f>
        <v>0.21</v>
      </c>
      <c r="L113" s="132" t="s">
        <v>59</v>
      </c>
      <c r="M113" s="126">
        <v>0.15</v>
      </c>
      <c r="N113" s="17"/>
      <c r="O113" s="16"/>
    </row>
    <row r="114" spans="1:15" x14ac:dyDescent="0.25">
      <c r="A114" s="16"/>
      <c r="C114" s="16"/>
      <c r="D114" s="16"/>
      <c r="E114" s="26"/>
      <c r="F114" s="24"/>
      <c r="G114" s="24"/>
      <c r="H114" s="24"/>
      <c r="I114" s="42"/>
      <c r="J114" s="27" t="s">
        <v>46</v>
      </c>
      <c r="K114" s="88">
        <f>SUM(K101:K112)*M117+(K113*M117*1.2)</f>
        <v>12.29288114874816</v>
      </c>
      <c r="M114" s="25"/>
      <c r="N114" s="17"/>
      <c r="O114" s="16"/>
    </row>
    <row r="115" spans="1:15" ht="13" x14ac:dyDescent="0.3">
      <c r="A115" s="16"/>
      <c r="B115" s="28" t="s">
        <v>53</v>
      </c>
      <c r="C115" s="28"/>
      <c r="D115" s="28"/>
      <c r="E115" s="28"/>
      <c r="F115" s="29"/>
      <c r="G115" s="29"/>
      <c r="H115" s="29"/>
      <c r="I115" s="87">
        <f>SUM(I101:I113)</f>
        <v>130.44588281249997</v>
      </c>
      <c r="J115" s="27" t="s">
        <v>47</v>
      </c>
      <c r="K115" s="88">
        <f>(K114*0.1)+K114</f>
        <v>13.522169263622976</v>
      </c>
      <c r="L115" s="44" t="s">
        <v>54</v>
      </c>
      <c r="M115" s="88">
        <f>SUM(M101:M113)</f>
        <v>26.77939173323341</v>
      </c>
      <c r="N115" s="17"/>
      <c r="O115" s="16"/>
    </row>
    <row r="116" spans="1:15" x14ac:dyDescent="0.25">
      <c r="A116" s="16"/>
      <c r="B116" s="28"/>
      <c r="C116" s="16"/>
      <c r="D116" s="16"/>
      <c r="E116" s="16"/>
      <c r="F116" s="40"/>
      <c r="G116" s="30"/>
      <c r="H116" s="30"/>
      <c r="I116" s="31"/>
      <c r="J116" s="28"/>
      <c r="K116" s="133"/>
      <c r="L116" s="133"/>
      <c r="M116" s="32"/>
      <c r="N116" s="17"/>
      <c r="O116" s="16"/>
    </row>
    <row r="117" spans="1:15" x14ac:dyDescent="0.25">
      <c r="A117" s="16"/>
      <c r="B117" s="16"/>
      <c r="C117" s="28"/>
      <c r="D117" s="28"/>
      <c r="E117" s="28"/>
      <c r="F117" s="33"/>
      <c r="G117" s="33"/>
      <c r="H117" s="33"/>
      <c r="I117" s="33"/>
      <c r="J117" s="217" t="s">
        <v>31</v>
      </c>
      <c r="K117" s="217"/>
      <c r="L117" s="217"/>
      <c r="M117" s="138">
        <v>2.35</v>
      </c>
      <c r="N117" s="17"/>
      <c r="O117" s="16"/>
    </row>
    <row r="118" spans="1:15" x14ac:dyDescent="0.25">
      <c r="A118" s="16" t="s">
        <v>188</v>
      </c>
      <c r="B118" s="28"/>
      <c r="C118" s="28"/>
      <c r="D118" s="28"/>
      <c r="E118" s="28"/>
      <c r="F118" s="33"/>
      <c r="G118" s="33"/>
      <c r="H118" s="33"/>
      <c r="I118" s="31"/>
      <c r="J118" s="28"/>
      <c r="K118" s="32"/>
      <c r="L118" s="32"/>
      <c r="M118" s="32"/>
      <c r="N118" s="17"/>
      <c r="O118" s="16"/>
    </row>
    <row r="119" spans="1:15" x14ac:dyDescent="0.25">
      <c r="A119" s="16" t="s">
        <v>189</v>
      </c>
      <c r="B119" s="28"/>
      <c r="C119" s="28"/>
      <c r="D119" s="28"/>
      <c r="E119" s="28"/>
      <c r="F119" s="33"/>
      <c r="G119" s="33"/>
      <c r="H119" s="33"/>
      <c r="I119" s="31"/>
      <c r="J119" s="28"/>
      <c r="K119" s="32"/>
      <c r="L119" s="32"/>
      <c r="M119" s="32"/>
      <c r="N119" s="17"/>
      <c r="O119" s="16"/>
    </row>
    <row r="120" spans="1:15" x14ac:dyDescent="0.25">
      <c r="A120" s="16" t="s">
        <v>42</v>
      </c>
      <c r="B120" s="16"/>
      <c r="C120" s="16"/>
      <c r="D120" s="16"/>
      <c r="E120" s="28"/>
      <c r="F120" s="33"/>
      <c r="G120" s="33"/>
      <c r="H120" s="33"/>
      <c r="I120" s="31"/>
      <c r="J120" s="28"/>
      <c r="K120" s="32"/>
      <c r="L120" s="32"/>
      <c r="M120" s="32"/>
      <c r="N120" s="17"/>
      <c r="O120" s="16"/>
    </row>
    <row r="121" spans="1:15" x14ac:dyDescent="0.25">
      <c r="A121" s="16" t="s">
        <v>91</v>
      </c>
      <c r="B121" s="16"/>
      <c r="C121" s="16"/>
      <c r="D121" s="16"/>
      <c r="E121" s="16"/>
      <c r="F121" s="34"/>
      <c r="G121" s="34"/>
      <c r="H121" s="34"/>
      <c r="I121" s="31"/>
      <c r="J121" s="16"/>
      <c r="K121" s="17"/>
      <c r="L121" s="17"/>
      <c r="M121" s="17"/>
      <c r="N121" s="17"/>
      <c r="O121" s="16"/>
    </row>
    <row r="122" spans="1:15" x14ac:dyDescent="0.25">
      <c r="A122" s="16" t="s">
        <v>74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35"/>
      <c r="M122" s="17"/>
      <c r="N122" s="17"/>
      <c r="O122" s="16"/>
    </row>
    <row r="123" spans="1:15" x14ac:dyDescent="0.25">
      <c r="A123" s="49" t="s">
        <v>60</v>
      </c>
      <c r="B123" s="16"/>
      <c r="C123" s="37"/>
      <c r="D123" s="16"/>
      <c r="E123" s="36"/>
      <c r="F123" s="36"/>
      <c r="G123" s="36"/>
      <c r="H123" s="36"/>
      <c r="I123" s="36"/>
      <c r="J123" s="16"/>
      <c r="K123" s="16"/>
      <c r="L123" s="17"/>
      <c r="M123" s="17"/>
      <c r="N123" s="17"/>
      <c r="O123" s="16"/>
    </row>
    <row r="124" spans="1:15" x14ac:dyDescent="0.25">
      <c r="A124" s="16" t="s">
        <v>38</v>
      </c>
      <c r="B124" s="16"/>
      <c r="C124" s="16"/>
      <c r="D124" s="16"/>
      <c r="E124" s="36"/>
      <c r="F124" s="36"/>
      <c r="G124" s="36"/>
      <c r="H124" s="36"/>
      <c r="I124" s="36"/>
      <c r="J124" s="16"/>
      <c r="K124" s="16"/>
      <c r="L124" s="17"/>
      <c r="M124" s="17"/>
      <c r="N124" s="17"/>
      <c r="O124" s="16"/>
    </row>
    <row r="125" spans="1:15" x14ac:dyDescent="0.25">
      <c r="A125" s="16" t="s">
        <v>133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7"/>
      <c r="N125" s="17"/>
      <c r="O125" s="16"/>
    </row>
    <row r="126" spans="1:15" x14ac:dyDescent="0.25">
      <c r="A126" s="16" t="s">
        <v>32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7"/>
      <c r="N126" s="17"/>
      <c r="O126" s="16"/>
    </row>
    <row r="127" spans="1:15" x14ac:dyDescent="0.25">
      <c r="A127" s="16" t="s">
        <v>190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6"/>
    </row>
    <row r="128" spans="1:15" x14ac:dyDescent="0.25">
      <c r="A128" s="16" t="s">
        <v>45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7"/>
      <c r="N128" s="17"/>
      <c r="O128" s="16"/>
    </row>
    <row r="129" spans="1:1" x14ac:dyDescent="0.25">
      <c r="A129" s="16" t="s">
        <v>143</v>
      </c>
    </row>
    <row r="130" spans="1:1" x14ac:dyDescent="0.25">
      <c r="A130" s="165" t="s">
        <v>149</v>
      </c>
    </row>
  </sheetData>
  <mergeCells count="4">
    <mergeCell ref="J117:L117"/>
    <mergeCell ref="A6:D6"/>
    <mergeCell ref="E6:G6"/>
    <mergeCell ref="M5:N5"/>
  </mergeCells>
  <phoneticPr fontId="0" type="noConversion"/>
  <hyperlinks>
    <hyperlink ref="A120" r:id="rId1" display="http://faculty.apec.umn.edu/wlazarus/documents/machdata.pdf"/>
  </hyperlinks>
  <printOptions horizontalCentered="1"/>
  <pageMargins left="0.32" right="0.27" top="0.5" bottom="0.5" header="0.5" footer="0.5"/>
  <pageSetup scale="90" fitToHeight="2" orientation="portrait" r:id="rId2"/>
  <headerFooter alignWithMargins="0"/>
  <rowBreaks count="1" manualBreakCount="1">
    <brk id="63" max="13" man="1"/>
  </rowBreaks>
  <ignoredErrors>
    <ignoredError sqref="L10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K15" sqref="K15"/>
    </sheetView>
  </sheetViews>
  <sheetFormatPr defaultRowHeight="12.5" x14ac:dyDescent="0.25"/>
  <cols>
    <col min="1" max="1" width="3.453125" customWidth="1"/>
    <col min="2" max="2" width="7.81640625" customWidth="1"/>
    <col min="3" max="3" width="14.7265625" customWidth="1"/>
    <col min="4" max="4" width="17" customWidth="1"/>
    <col min="5" max="5" width="13.26953125" customWidth="1"/>
    <col min="6" max="6" width="13.81640625" customWidth="1"/>
    <col min="8" max="8" width="11.81640625" customWidth="1"/>
    <col min="9" max="10" width="12.54296875" customWidth="1"/>
    <col min="11" max="11" width="11.7265625" customWidth="1"/>
  </cols>
  <sheetData>
    <row r="1" spans="1:16" x14ac:dyDescent="0.25">
      <c r="A1" t="s">
        <v>96</v>
      </c>
      <c r="D1" t="s">
        <v>97</v>
      </c>
      <c r="E1" t="s">
        <v>98</v>
      </c>
      <c r="F1" t="s">
        <v>99</v>
      </c>
      <c r="G1" t="s">
        <v>92</v>
      </c>
      <c r="H1" t="s">
        <v>93</v>
      </c>
      <c r="I1" t="s">
        <v>94</v>
      </c>
      <c r="J1" s="135" t="s">
        <v>101</v>
      </c>
      <c r="K1" s="189" t="s">
        <v>95</v>
      </c>
    </row>
    <row r="2" spans="1:16" x14ac:dyDescent="0.25">
      <c r="A2" s="92" t="s">
        <v>128</v>
      </c>
      <c r="B2" s="92"/>
      <c r="C2" s="92"/>
      <c r="D2" s="118">
        <f>('corn-cons'!F101+('corn-cons'!F101*0.34)+E2)/2</f>
        <v>35918.125</v>
      </c>
      <c r="E2" s="118">
        <f>('corn-cons'!F101-('corn-cons'!F101*0.34))/8</f>
        <v>4166.25</v>
      </c>
      <c r="F2" s="136">
        <f t="shared" ref="F2:F14" si="0">0.06*D2</f>
        <v>2155.0875000000001</v>
      </c>
      <c r="G2" s="118">
        <f t="shared" ref="G2:G14" si="1">0.005*D2</f>
        <v>179.59062500000002</v>
      </c>
      <c r="H2" s="118">
        <f t="shared" ref="H2:H14" si="2">0.01*D2</f>
        <v>359.18125000000003</v>
      </c>
      <c r="I2" s="118">
        <f>SUM(E2:H2)</f>
        <v>6860.1093749999991</v>
      </c>
      <c r="J2" s="136">
        <v>1000</v>
      </c>
      <c r="K2" s="190">
        <f>I2/J2</f>
        <v>6.8601093749999995</v>
      </c>
      <c r="L2" s="116"/>
      <c r="N2" s="99"/>
      <c r="P2" s="99"/>
    </row>
    <row r="3" spans="1:16" x14ac:dyDescent="0.25">
      <c r="A3" s="65" t="s">
        <v>139</v>
      </c>
      <c r="B3" s="65"/>
      <c r="C3" s="117"/>
      <c r="D3" s="116">
        <f>('corn-cons'!F102+('corn-cons'!F102*0.34)+E3)/2</f>
        <v>53699.375</v>
      </c>
      <c r="E3" s="116">
        <f>('corn-cons'!F102-('corn-cons'!F102*0.34))/8</f>
        <v>6228.75</v>
      </c>
      <c r="F3" s="116">
        <f t="shared" si="0"/>
        <v>3221.9625000000001</v>
      </c>
      <c r="G3" s="116">
        <f t="shared" si="1"/>
        <v>268.49687499999999</v>
      </c>
      <c r="H3" s="116">
        <f t="shared" si="2"/>
        <v>536.99374999999998</v>
      </c>
      <c r="I3" s="116">
        <f t="shared" ref="I3:I14" si="3">SUM(E3:H3)</f>
        <v>10256.203125</v>
      </c>
      <c r="J3" s="116">
        <v>1000</v>
      </c>
      <c r="K3" s="191">
        <f t="shared" ref="K3:K14" si="4">I3/J3</f>
        <v>10.256203125000001</v>
      </c>
      <c r="L3" s="116"/>
      <c r="N3" s="99"/>
      <c r="P3" s="99"/>
    </row>
    <row r="4" spans="1:16" x14ac:dyDescent="0.25">
      <c r="A4" s="65" t="s">
        <v>129</v>
      </c>
      <c r="B4" s="65"/>
      <c r="C4" s="117"/>
      <c r="D4" s="116">
        <f>('corn-cons'!F103+('corn-cons'!F103*0.34)+E4)/2</f>
        <v>172478.125</v>
      </c>
      <c r="E4" s="116">
        <f>('corn-cons'!F103-('corn-cons'!F103*0.34))/8</f>
        <v>20006.25</v>
      </c>
      <c r="F4" s="116">
        <f t="shared" si="0"/>
        <v>10348.6875</v>
      </c>
      <c r="G4" s="116">
        <f t="shared" si="1"/>
        <v>862.390625</v>
      </c>
      <c r="H4" s="116">
        <f t="shared" si="2"/>
        <v>1724.78125</v>
      </c>
      <c r="I4" s="116">
        <f t="shared" si="3"/>
        <v>32942.109375</v>
      </c>
      <c r="J4" s="116">
        <v>2000</v>
      </c>
      <c r="K4" s="191">
        <f t="shared" si="4"/>
        <v>16.471054687500001</v>
      </c>
      <c r="L4" s="116"/>
      <c r="N4" s="99"/>
      <c r="P4" s="99"/>
    </row>
    <row r="5" spans="1:16" x14ac:dyDescent="0.25">
      <c r="A5" s="65" t="s">
        <v>140</v>
      </c>
      <c r="B5" s="65"/>
      <c r="C5" s="117"/>
      <c r="D5" s="116">
        <f>('corn-cons'!F104+('corn-cons'!F104*0.44)+E5)/2</f>
        <v>79652.5</v>
      </c>
      <c r="E5" s="116">
        <f>('corn-cons'!F104-('corn-cons'!F104*0.44))/8</f>
        <v>7385</v>
      </c>
      <c r="F5" s="116">
        <f t="shared" si="0"/>
        <v>4779.1499999999996</v>
      </c>
      <c r="G5" s="116">
        <f t="shared" si="1"/>
        <v>398.26249999999999</v>
      </c>
      <c r="H5" s="116">
        <f t="shared" si="2"/>
        <v>796.52499999999998</v>
      </c>
      <c r="I5" s="116">
        <f t="shared" si="3"/>
        <v>13358.9375</v>
      </c>
      <c r="J5" s="116">
        <v>1000</v>
      </c>
      <c r="K5" s="191">
        <f t="shared" si="4"/>
        <v>13.3589375</v>
      </c>
      <c r="L5" s="116"/>
      <c r="N5" s="99"/>
      <c r="P5" s="99"/>
    </row>
    <row r="6" spans="1:16" x14ac:dyDescent="0.25">
      <c r="A6" s="65" t="s">
        <v>131</v>
      </c>
      <c r="B6" s="65"/>
      <c r="C6" s="117"/>
      <c r="D6" s="116">
        <f>('corn-cons'!F105+('corn-cons'!F105*0.29)+E6)/2</f>
        <v>248175</v>
      </c>
      <c r="E6" s="116">
        <f>('corn-cons'!F105-('corn-cons'!F105*0.29))/8</f>
        <v>31950</v>
      </c>
      <c r="F6" s="116">
        <f t="shared" si="0"/>
        <v>14890.5</v>
      </c>
      <c r="G6" s="137">
        <f t="shared" si="1"/>
        <v>1240.875</v>
      </c>
      <c r="H6" s="116">
        <f t="shared" si="2"/>
        <v>2481.75</v>
      </c>
      <c r="I6" s="116">
        <f t="shared" si="3"/>
        <v>50563.125</v>
      </c>
      <c r="J6" s="116">
        <v>2000</v>
      </c>
      <c r="K6" s="191">
        <f t="shared" si="4"/>
        <v>25.2815625</v>
      </c>
      <c r="L6" s="116"/>
      <c r="N6" s="99"/>
      <c r="P6" s="99"/>
    </row>
    <row r="7" spans="1:16" x14ac:dyDescent="0.25">
      <c r="A7" s="65"/>
      <c r="B7" s="65" t="s">
        <v>141</v>
      </c>
      <c r="C7" s="117"/>
      <c r="D7" s="116">
        <f>('corn-cons'!F106+('corn-cons'!F106*0.29)+E7)/2</f>
        <v>40673.125</v>
      </c>
      <c r="E7" s="116">
        <f>('corn-cons'!F106-('corn-cons'!F106*0.29))/8</f>
        <v>5236.25</v>
      </c>
      <c r="F7" s="116">
        <f t="shared" si="0"/>
        <v>2440.3874999999998</v>
      </c>
      <c r="G7" s="116">
        <f t="shared" si="1"/>
        <v>203.36562499999999</v>
      </c>
      <c r="H7" s="116">
        <f t="shared" si="2"/>
        <v>406.73124999999999</v>
      </c>
      <c r="I7" s="116">
        <f t="shared" si="3"/>
        <v>8286.734375</v>
      </c>
      <c r="J7" s="116">
        <v>1000</v>
      </c>
      <c r="K7" s="191">
        <f t="shared" si="4"/>
        <v>8.286734375</v>
      </c>
      <c r="L7" s="116"/>
      <c r="N7" s="99"/>
      <c r="P7" s="99"/>
    </row>
    <row r="8" spans="1:16" x14ac:dyDescent="0.25">
      <c r="A8" s="65" t="s">
        <v>127</v>
      </c>
      <c r="B8" s="65"/>
      <c r="C8" s="117"/>
      <c r="D8" s="116">
        <f>('corn-cons'!F107+('corn-cons'!F107*0.34)+E8)/2</f>
        <v>14936.25</v>
      </c>
      <c r="E8" s="116">
        <f>('corn-cons'!F107-('corn-cons'!F107*0.34))/8</f>
        <v>1732.5</v>
      </c>
      <c r="F8" s="116">
        <f t="shared" si="0"/>
        <v>896.17499999999995</v>
      </c>
      <c r="G8" s="116">
        <f t="shared" si="1"/>
        <v>74.681250000000006</v>
      </c>
      <c r="H8" s="116">
        <f t="shared" si="2"/>
        <v>149.36250000000001</v>
      </c>
      <c r="I8" s="116">
        <f t="shared" si="3"/>
        <v>2852.7187500000005</v>
      </c>
      <c r="J8" s="116">
        <v>1000</v>
      </c>
      <c r="K8" s="191">
        <f t="shared" si="4"/>
        <v>2.8527187500000006</v>
      </c>
      <c r="L8" s="116"/>
      <c r="N8" s="99"/>
      <c r="P8" s="99"/>
    </row>
    <row r="9" spans="1:16" x14ac:dyDescent="0.25">
      <c r="A9" s="65" t="s">
        <v>55</v>
      </c>
      <c r="B9" s="65"/>
      <c r="C9" s="117"/>
      <c r="D9" s="116">
        <f>('corn-cons'!F108+('corn-cons'!F108*0.34)+E9)/2</f>
        <v>8535</v>
      </c>
      <c r="E9" s="116">
        <f>('corn-cons'!F108-('corn-cons'!F108*0.34))/8</f>
        <v>990</v>
      </c>
      <c r="F9" s="116">
        <f t="shared" si="0"/>
        <v>512.1</v>
      </c>
      <c r="G9" s="116">
        <f t="shared" si="1"/>
        <v>42.675000000000004</v>
      </c>
      <c r="H9" s="116">
        <f t="shared" si="2"/>
        <v>85.350000000000009</v>
      </c>
      <c r="I9" s="116">
        <f t="shared" si="3"/>
        <v>1630.1249999999998</v>
      </c>
      <c r="J9" s="116">
        <v>2000</v>
      </c>
      <c r="K9" s="191">
        <f t="shared" si="4"/>
        <v>0.81506249999999991</v>
      </c>
      <c r="L9" s="116"/>
      <c r="N9" s="99"/>
      <c r="P9" s="99"/>
    </row>
    <row r="10" spans="1:16" x14ac:dyDescent="0.25">
      <c r="A10" s="65" t="s">
        <v>123</v>
      </c>
      <c r="B10" s="65"/>
      <c r="C10" s="117"/>
      <c r="D10" s="116">
        <f>('corn-cons'!F109+('corn-cons'!F109*0.36)+E10)/2</f>
        <v>50400</v>
      </c>
      <c r="E10" s="116">
        <f>('corn-cons'!F109-('corn-cons'!F109*0.36))/8</f>
        <v>5600</v>
      </c>
      <c r="F10" s="116">
        <f t="shared" si="0"/>
        <v>3024</v>
      </c>
      <c r="G10" s="116">
        <f t="shared" si="1"/>
        <v>252</v>
      </c>
      <c r="H10" s="116">
        <f t="shared" si="2"/>
        <v>504</v>
      </c>
      <c r="I10" s="116">
        <f t="shared" si="3"/>
        <v>9380</v>
      </c>
      <c r="J10" s="116">
        <v>2000</v>
      </c>
      <c r="K10" s="191">
        <f t="shared" si="4"/>
        <v>4.6900000000000004</v>
      </c>
      <c r="L10" s="116"/>
      <c r="N10" s="99"/>
      <c r="P10" s="99"/>
    </row>
    <row r="11" spans="1:16" x14ac:dyDescent="0.25">
      <c r="A11" s="65" t="s">
        <v>124</v>
      </c>
      <c r="B11" s="65"/>
      <c r="C11" s="117"/>
      <c r="D11" s="116">
        <f>('corn-cons'!F110+('corn-cons'!F110*0.36)+E11)/2</f>
        <v>36360</v>
      </c>
      <c r="E11" s="116">
        <f>('corn-cons'!F110-('corn-cons'!F110*0.36))/8</f>
        <v>4040</v>
      </c>
      <c r="F11" s="116">
        <f t="shared" si="0"/>
        <v>2181.6</v>
      </c>
      <c r="G11" s="116">
        <f>0.005*D11</f>
        <v>181.8</v>
      </c>
      <c r="H11" s="116">
        <f>0.01*D11</f>
        <v>363.6</v>
      </c>
      <c r="I11" s="116">
        <f>SUM(E11:H11)</f>
        <v>6767.0000000000009</v>
      </c>
      <c r="J11" s="116">
        <v>2000</v>
      </c>
      <c r="K11" s="191">
        <f>I11/J11</f>
        <v>3.3835000000000006</v>
      </c>
      <c r="L11" s="116"/>
      <c r="N11" s="99"/>
      <c r="P11" s="99"/>
    </row>
    <row r="12" spans="1:16" x14ac:dyDescent="0.25">
      <c r="A12" s="65" t="s">
        <v>142</v>
      </c>
      <c r="B12" s="65"/>
      <c r="C12" s="117"/>
      <c r="D12" s="116">
        <f>('corn-cons'!F111+('corn-cons'!F111*0.36)+E12)/2</f>
        <v>197280</v>
      </c>
      <c r="E12" s="116">
        <f>('corn-cons'!F111-('corn-cons'!F111*0.36))/8</f>
        <v>21920</v>
      </c>
      <c r="F12" s="116">
        <f t="shared" si="0"/>
        <v>11836.8</v>
      </c>
      <c r="G12" s="116">
        <f t="shared" si="1"/>
        <v>986.4</v>
      </c>
      <c r="H12" s="116">
        <f t="shared" si="2"/>
        <v>1972.8</v>
      </c>
      <c r="I12" s="116">
        <f t="shared" si="3"/>
        <v>36716.000000000007</v>
      </c>
      <c r="J12" s="116">
        <v>2000</v>
      </c>
      <c r="K12" s="191">
        <f t="shared" si="4"/>
        <v>18.358000000000004</v>
      </c>
      <c r="L12" s="116"/>
      <c r="N12" s="99"/>
      <c r="P12" s="99"/>
    </row>
    <row r="13" spans="1:16" x14ac:dyDescent="0.25">
      <c r="A13" s="65" t="s">
        <v>130</v>
      </c>
      <c r="B13" s="65"/>
      <c r="C13" s="117"/>
      <c r="D13" s="116">
        <f>('corn-cons'!F112+('corn-cons'!F112*0.36)+E13)/2</f>
        <v>191520</v>
      </c>
      <c r="E13" s="116">
        <f>('corn-cons'!F112-('corn-cons'!F112*0.36))/8</f>
        <v>21280</v>
      </c>
      <c r="F13" s="116">
        <f t="shared" si="0"/>
        <v>11491.199999999999</v>
      </c>
      <c r="G13" s="116">
        <f>0.005*D13</f>
        <v>957.6</v>
      </c>
      <c r="H13" s="116">
        <f>0.01*D13</f>
        <v>1915.2</v>
      </c>
      <c r="I13" s="116">
        <f>SUM(E13:H13)</f>
        <v>35643.999999999993</v>
      </c>
      <c r="J13" s="116">
        <v>2000</v>
      </c>
      <c r="K13" s="191">
        <f>I13/J13</f>
        <v>17.821999999999996</v>
      </c>
      <c r="L13" s="116"/>
      <c r="N13" s="99"/>
      <c r="P13" s="99"/>
    </row>
    <row r="14" spans="1:16" x14ac:dyDescent="0.25">
      <c r="A14" s="90" t="s">
        <v>43</v>
      </c>
      <c r="B14" s="90"/>
      <c r="C14" s="90"/>
      <c r="D14" s="119">
        <f>('corn-cons'!F113+('corn-cons'!F113*0.36)+E14)/2</f>
        <v>21600</v>
      </c>
      <c r="E14" s="119">
        <f>('corn-cons'!F113-('corn-cons'!F113*0.36))/8</f>
        <v>2400</v>
      </c>
      <c r="F14" s="116">
        <f t="shared" si="0"/>
        <v>1296</v>
      </c>
      <c r="G14" s="119">
        <f t="shared" si="1"/>
        <v>108</v>
      </c>
      <c r="H14" s="119">
        <f t="shared" si="2"/>
        <v>216</v>
      </c>
      <c r="I14" s="119">
        <f t="shared" si="3"/>
        <v>4020</v>
      </c>
      <c r="J14" s="119">
        <v>2000</v>
      </c>
      <c r="K14" s="192">
        <f t="shared" si="4"/>
        <v>2.0099999999999998</v>
      </c>
      <c r="L14" s="116"/>
      <c r="N14" s="99"/>
      <c r="P14" s="99"/>
    </row>
    <row r="15" spans="1:16" x14ac:dyDescent="0.25">
      <c r="E15" s="99">
        <f>SUM(E2:E14)</f>
        <v>132935</v>
      </c>
      <c r="F15" s="118">
        <f>SUM(F2:F14)</f>
        <v>69073.649999999994</v>
      </c>
      <c r="G15" s="99">
        <f>SUM(G2:G14)</f>
        <v>5756.1375000000007</v>
      </c>
      <c r="H15" s="99">
        <f>SUM(H2:H14)</f>
        <v>11512.275000000001</v>
      </c>
      <c r="I15" s="99">
        <f>SUM(I2:I14)</f>
        <v>219277.0625</v>
      </c>
      <c r="J15" s="99"/>
      <c r="K15" s="193">
        <f>SUM(K2:K14)</f>
        <v>130.44588281249997</v>
      </c>
    </row>
  </sheetData>
  <phoneticPr fontId="14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workbookViewId="0">
      <selection sqref="A1:I22"/>
    </sheetView>
  </sheetViews>
  <sheetFormatPr defaultRowHeight="12.5" x14ac:dyDescent="0.25"/>
  <cols>
    <col min="4" max="4" width="11.7265625" customWidth="1"/>
    <col min="6" max="6" width="6.453125" customWidth="1"/>
    <col min="7" max="7" width="15.26953125" customWidth="1"/>
    <col min="8" max="8" width="10.26953125" customWidth="1"/>
    <col min="9" max="9" width="15.1796875" customWidth="1"/>
  </cols>
  <sheetData>
    <row r="1" spans="1:9" x14ac:dyDescent="0.25">
      <c r="A1" s="222" t="s">
        <v>150</v>
      </c>
      <c r="B1" s="223"/>
      <c r="C1" s="223"/>
      <c r="D1" s="223"/>
      <c r="E1" s="223"/>
      <c r="F1" s="223"/>
      <c r="G1" s="223"/>
      <c r="H1" s="223"/>
      <c r="I1" s="224"/>
    </row>
    <row r="2" spans="1:9" ht="13" thickBot="1" x14ac:dyDescent="0.3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0.5" thickTop="1" x14ac:dyDescent="0.4">
      <c r="A3" s="228" t="s">
        <v>102</v>
      </c>
      <c r="B3" s="228"/>
      <c r="C3" s="228"/>
      <c r="D3" s="228" t="s">
        <v>104</v>
      </c>
      <c r="E3" s="228"/>
      <c r="F3" s="228"/>
      <c r="G3" s="229" t="s">
        <v>106</v>
      </c>
      <c r="H3" s="229"/>
      <c r="I3" s="230"/>
    </row>
    <row r="4" spans="1:9" ht="20" x14ac:dyDescent="0.4">
      <c r="A4" s="141" t="s">
        <v>107</v>
      </c>
      <c r="B4" s="142"/>
      <c r="C4" s="143"/>
      <c r="D4" s="143"/>
      <c r="E4" s="143"/>
      <c r="F4" s="143"/>
      <c r="G4" s="181">
        <f>'corn-cons'!$L$8</f>
        <v>163.1</v>
      </c>
      <c r="H4" s="182"/>
      <c r="I4" s="183">
        <f>'corn-cons'!$M$8</f>
        <v>195.7</v>
      </c>
    </row>
    <row r="5" spans="1:9" ht="20" x14ac:dyDescent="0.4">
      <c r="A5" s="144" t="s">
        <v>103</v>
      </c>
      <c r="B5" s="144"/>
      <c r="C5" s="145"/>
      <c r="D5" s="146">
        <f>'corn-cons'!I10</f>
        <v>3.65</v>
      </c>
      <c r="E5" s="145" t="s">
        <v>105</v>
      </c>
      <c r="F5" s="147"/>
      <c r="G5" s="156">
        <f>'corn-cons'!$L$10</f>
        <v>595.31499999999994</v>
      </c>
      <c r="H5" s="156"/>
      <c r="I5" s="157">
        <f>'corn-cons'!$M$10</f>
        <v>714.30499999999995</v>
      </c>
    </row>
    <row r="6" spans="1:9" ht="7.5" customHeight="1" x14ac:dyDescent="0.4">
      <c r="F6" s="154"/>
      <c r="G6" s="158"/>
      <c r="H6" s="158"/>
      <c r="I6" s="158"/>
    </row>
    <row r="7" spans="1:9" ht="20" x14ac:dyDescent="0.4">
      <c r="A7" s="149" t="s">
        <v>108</v>
      </c>
      <c r="B7" s="153"/>
      <c r="C7" s="142"/>
      <c r="D7" s="148"/>
      <c r="E7" s="143"/>
      <c r="F7" s="143"/>
      <c r="G7" s="148"/>
      <c r="H7" s="148"/>
      <c r="I7" s="148"/>
    </row>
    <row r="8" spans="1:9" ht="20" x14ac:dyDescent="0.4">
      <c r="A8" s="150" t="s">
        <v>109</v>
      </c>
      <c r="B8" s="150"/>
      <c r="C8" s="150"/>
      <c r="D8" s="151">
        <f>'corn-cons'!$I$19</f>
        <v>275</v>
      </c>
      <c r="E8" s="147" t="s">
        <v>81</v>
      </c>
      <c r="F8" s="147"/>
      <c r="G8" s="156">
        <f>'corn-cons'!$L$18</f>
        <v>110</v>
      </c>
      <c r="H8" s="156"/>
      <c r="I8" s="157">
        <f>'corn-cons'!$M$18</f>
        <v>116.875</v>
      </c>
    </row>
    <row r="9" spans="1:9" ht="24" x14ac:dyDescent="0.6">
      <c r="A9" s="150" t="s">
        <v>117</v>
      </c>
      <c r="B9" s="150"/>
      <c r="C9" s="150"/>
      <c r="D9" s="152">
        <f>'corn-cons'!$F$72</f>
        <v>750</v>
      </c>
      <c r="E9" s="150" t="s">
        <v>12</v>
      </c>
      <c r="F9" s="150"/>
      <c r="G9" s="159">
        <f>'corn-cons'!$L$22</f>
        <v>85.373170731707319</v>
      </c>
      <c r="H9" s="159"/>
      <c r="I9" s="160">
        <f>'corn-cons'!$M$22</f>
        <v>105.64878048780487</v>
      </c>
    </row>
    <row r="10" spans="1:9" ht="24" x14ac:dyDescent="0.6">
      <c r="A10" s="150" t="s">
        <v>118</v>
      </c>
      <c r="B10" s="150"/>
      <c r="C10" s="150"/>
      <c r="D10" s="152">
        <f>'corn-cons'!$I$72</f>
        <v>590</v>
      </c>
      <c r="E10" s="150" t="s">
        <v>12</v>
      </c>
      <c r="F10" s="150"/>
      <c r="G10" s="159">
        <f>'corn-cons'!$L$23</f>
        <v>34.235317307692306</v>
      </c>
      <c r="H10" s="159"/>
      <c r="I10" s="160">
        <f>'corn-cons'!$M$23</f>
        <v>41.078182692307685</v>
      </c>
    </row>
    <row r="11" spans="1:9" ht="24" x14ac:dyDescent="0.6">
      <c r="A11" s="150" t="s">
        <v>119</v>
      </c>
      <c r="B11" s="150"/>
      <c r="C11" s="150"/>
      <c r="D11" s="152">
        <f>'corn-cons'!$M$72</f>
        <v>480</v>
      </c>
      <c r="E11" s="150" t="s">
        <v>12</v>
      </c>
      <c r="F11" s="150"/>
      <c r="G11" s="159">
        <f>'corn-cons'!$L$24</f>
        <v>17.614799999999999</v>
      </c>
      <c r="H11" s="159"/>
      <c r="I11" s="160">
        <f>'corn-cons'!$M$24</f>
        <v>21.1356</v>
      </c>
    </row>
    <row r="12" spans="1:9" ht="20" x14ac:dyDescent="0.4">
      <c r="A12" s="150" t="s">
        <v>110</v>
      </c>
      <c r="B12" s="150"/>
      <c r="C12" s="150"/>
      <c r="D12" s="150"/>
      <c r="E12" s="150"/>
      <c r="F12" s="150"/>
      <c r="G12" s="159">
        <f>SUM('corn-cons'!$L$26:$L$28)</f>
        <v>56.08</v>
      </c>
      <c r="H12" s="159"/>
      <c r="I12" s="160">
        <f>SUM('corn-cons'!$N$26:$N$28)</f>
        <v>56.08</v>
      </c>
    </row>
    <row r="13" spans="1:9" ht="20" x14ac:dyDescent="0.4">
      <c r="A13" s="144" t="s">
        <v>113</v>
      </c>
      <c r="B13" s="144"/>
      <c r="C13" s="144"/>
      <c r="D13" s="196">
        <f>'corn-cons'!$M$117</f>
        <v>2.35</v>
      </c>
      <c r="E13" s="144" t="s">
        <v>114</v>
      </c>
      <c r="F13" s="144"/>
      <c r="G13" s="161">
        <f>'corn-cons'!$L$31</f>
        <v>13.522169263622976</v>
      </c>
      <c r="H13" s="161"/>
      <c r="I13" s="162">
        <f>'corn-cons'!$M$31</f>
        <v>13.522169263622976</v>
      </c>
    </row>
    <row r="14" spans="1:9" ht="20.25" customHeight="1" x14ac:dyDescent="0.4">
      <c r="C14" s="184" t="s">
        <v>159</v>
      </c>
      <c r="G14" s="161">
        <f>('corn-cons'!$L$38)/G4</f>
        <v>2.5238336836285318</v>
      </c>
      <c r="H14" s="42"/>
      <c r="I14" s="161">
        <f>('corn-cons'!$M$38)/I4</f>
        <v>2.3712672387947396</v>
      </c>
    </row>
    <row r="15" spans="1:9" ht="20" x14ac:dyDescent="0.4">
      <c r="A15" s="149" t="s">
        <v>111</v>
      </c>
      <c r="B15" s="142"/>
      <c r="C15" s="143"/>
      <c r="D15" s="143"/>
      <c r="E15" s="143"/>
      <c r="F15" s="163"/>
      <c r="G15" s="164"/>
      <c r="H15" s="164"/>
      <c r="I15" s="164"/>
    </row>
    <row r="16" spans="1:9" ht="20" x14ac:dyDescent="0.4">
      <c r="A16" s="169" t="s">
        <v>120</v>
      </c>
      <c r="B16" s="169"/>
      <c r="C16" s="169"/>
      <c r="D16" s="169"/>
      <c r="E16" s="169"/>
      <c r="F16" s="169"/>
      <c r="G16" s="156">
        <f>'corn-cons'!$L$42+'corn-cons'!L$43</f>
        <v>75.828249999999997</v>
      </c>
      <c r="H16" s="170"/>
      <c r="I16" s="157">
        <f>'corn-cons'!$M$42+'corn-cons'!$M$43</f>
        <v>81.777749999999997</v>
      </c>
    </row>
    <row r="17" spans="1:9" ht="20" x14ac:dyDescent="0.4">
      <c r="A17" s="195" t="s">
        <v>51</v>
      </c>
      <c r="B17" s="195"/>
      <c r="C17" s="195"/>
      <c r="D17" s="195"/>
      <c r="E17" s="195"/>
      <c r="F17" s="195"/>
      <c r="G17" s="159">
        <f>'corn-cons'!$L$44</f>
        <v>130.44588281249997</v>
      </c>
      <c r="H17" s="159"/>
      <c r="I17" s="160">
        <f>'corn-cons'!$M$44</f>
        <v>130.44588281249997</v>
      </c>
    </row>
    <row r="18" spans="1:9" ht="20" x14ac:dyDescent="0.4">
      <c r="A18" s="194" t="s">
        <v>112</v>
      </c>
      <c r="B18" s="194"/>
      <c r="C18" s="194"/>
      <c r="D18" s="194"/>
      <c r="E18" s="194"/>
      <c r="F18" s="194"/>
      <c r="G18" s="161">
        <f>'corn-cons'!$L$45</f>
        <v>205</v>
      </c>
      <c r="H18" s="161"/>
      <c r="I18" s="162">
        <f>'corn-cons'!$M$45</f>
        <v>268</v>
      </c>
    </row>
    <row r="19" spans="1:9" ht="21" customHeight="1" x14ac:dyDescent="0.4">
      <c r="C19" s="184" t="s">
        <v>159</v>
      </c>
      <c r="G19" s="159">
        <f>'corn-cons'!$L$51</f>
        <v>5.1925898627364404</v>
      </c>
      <c r="H19" s="42"/>
      <c r="I19" s="159">
        <f>'corn-cons'!$M$51</f>
        <v>4.9477804366102731</v>
      </c>
    </row>
    <row r="20" spans="1:9" ht="20" x14ac:dyDescent="0.4">
      <c r="A20" s="149" t="s">
        <v>115</v>
      </c>
      <c r="B20" s="142"/>
      <c r="C20" s="143"/>
      <c r="D20" s="143"/>
      <c r="E20" s="143"/>
      <c r="F20" s="143"/>
      <c r="G20" s="148"/>
      <c r="H20" s="148"/>
      <c r="I20" s="148"/>
    </row>
    <row r="21" spans="1:9" ht="20" x14ac:dyDescent="0.4">
      <c r="A21" s="180" t="s">
        <v>138</v>
      </c>
      <c r="B21" s="180"/>
      <c r="C21" s="180"/>
      <c r="D21" s="180"/>
      <c r="E21" s="180"/>
      <c r="F21" s="180"/>
      <c r="G21" s="156">
        <f>'corn-cons'!$L$55</f>
        <v>-230.34640661231344</v>
      </c>
      <c r="H21" s="156"/>
      <c r="I21" s="157">
        <f>'corn-cons'!$M$55</f>
        <v>-232.72563144463049</v>
      </c>
    </row>
    <row r="22" spans="1:9" ht="20" x14ac:dyDescent="0.4">
      <c r="A22" s="144" t="s">
        <v>116</v>
      </c>
      <c r="B22" s="144"/>
      <c r="C22" s="144"/>
      <c r="D22" s="144"/>
      <c r="E22" s="144"/>
      <c r="F22" s="150"/>
      <c r="G22" s="159">
        <f>'corn-cons'!$L$56</f>
        <v>-25.346406612313444</v>
      </c>
      <c r="H22" s="159"/>
      <c r="I22" s="160">
        <f>'corn-cons'!$M$56</f>
        <v>35.274368555369506</v>
      </c>
    </row>
    <row r="23" spans="1:9" ht="15.5" x14ac:dyDescent="0.35">
      <c r="A23" s="139"/>
      <c r="B23" s="139"/>
      <c r="C23" s="139"/>
      <c r="D23" s="139"/>
      <c r="E23" s="139"/>
      <c r="F23" s="155"/>
      <c r="G23" s="155"/>
      <c r="H23" s="155"/>
      <c r="I23" s="155"/>
    </row>
    <row r="24" spans="1:9" ht="15.5" x14ac:dyDescent="0.35">
      <c r="A24" s="139"/>
      <c r="B24" s="139"/>
      <c r="C24" s="139"/>
      <c r="D24" s="139"/>
      <c r="E24" s="139"/>
      <c r="F24" s="139"/>
      <c r="G24" s="139"/>
      <c r="H24" s="139"/>
      <c r="I24" s="139"/>
    </row>
    <row r="25" spans="1:9" ht="15.5" x14ac:dyDescent="0.35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9" ht="15.5" x14ac:dyDescent="0.35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9" ht="15.5" x14ac:dyDescent="0.35">
      <c r="A27" s="139"/>
      <c r="B27" s="139"/>
      <c r="C27" s="139"/>
      <c r="D27" s="139"/>
      <c r="E27" s="139"/>
      <c r="F27" s="139"/>
      <c r="G27" s="139"/>
      <c r="H27" s="139"/>
      <c r="I27" s="139"/>
    </row>
    <row r="28" spans="1:9" ht="15.5" x14ac:dyDescent="0.35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9" ht="15.5" x14ac:dyDescent="0.35">
      <c r="A29" s="139"/>
      <c r="B29" s="139"/>
      <c r="C29" s="139"/>
      <c r="D29" s="139"/>
      <c r="E29" s="139"/>
      <c r="F29" s="139"/>
      <c r="G29" s="139"/>
      <c r="H29" s="139"/>
      <c r="I29" s="139"/>
    </row>
    <row r="30" spans="1:9" ht="15.5" x14ac:dyDescent="0.3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5.5" x14ac:dyDescent="0.35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15.5" x14ac:dyDescent="0.35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15.5" x14ac:dyDescent="0.35">
      <c r="A33" s="139"/>
      <c r="B33" s="139"/>
      <c r="C33" s="139"/>
      <c r="D33" s="139"/>
      <c r="E33" s="139"/>
      <c r="F33" s="139"/>
      <c r="G33" s="139"/>
      <c r="H33" s="139"/>
      <c r="I33" s="139"/>
    </row>
    <row r="34" spans="1:9" ht="15.5" x14ac:dyDescent="0.3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5.5" x14ac:dyDescent="0.35">
      <c r="A35" s="139"/>
      <c r="B35" s="139"/>
      <c r="C35" s="139"/>
      <c r="D35" s="139"/>
      <c r="E35" s="139"/>
      <c r="F35" s="139"/>
      <c r="G35" s="139"/>
      <c r="H35" s="139"/>
      <c r="I35" s="139"/>
    </row>
    <row r="36" spans="1:9" ht="15.5" x14ac:dyDescent="0.35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5.5" x14ac:dyDescent="0.35">
      <c r="A37" s="139"/>
      <c r="B37" s="139"/>
      <c r="C37" s="139"/>
      <c r="D37" s="139"/>
      <c r="E37" s="139"/>
      <c r="F37" s="139"/>
      <c r="G37" s="139"/>
      <c r="H37" s="139"/>
      <c r="I37" s="139"/>
    </row>
    <row r="38" spans="1:9" ht="15.5" x14ac:dyDescent="0.3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15.5" x14ac:dyDescent="0.35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5.5" x14ac:dyDescent="0.35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t="15.5" x14ac:dyDescent="0.35">
      <c r="A41" s="139"/>
      <c r="B41" s="139"/>
      <c r="C41" s="139"/>
      <c r="D41" s="139"/>
      <c r="E41" s="139"/>
      <c r="F41" s="139"/>
      <c r="G41" s="139"/>
      <c r="H41" s="139"/>
      <c r="I41" s="139"/>
    </row>
    <row r="42" spans="1:9" ht="15.5" x14ac:dyDescent="0.35">
      <c r="A42" s="139"/>
      <c r="B42" s="139"/>
      <c r="C42" s="139"/>
      <c r="D42" s="139"/>
      <c r="E42" s="139"/>
      <c r="F42" s="139"/>
      <c r="G42" s="139"/>
      <c r="H42" s="139"/>
      <c r="I42" s="139"/>
    </row>
    <row r="43" spans="1:9" ht="15.5" x14ac:dyDescent="0.35">
      <c r="A43" s="139"/>
      <c r="B43" s="139"/>
      <c r="C43" s="139"/>
      <c r="D43" s="139"/>
      <c r="E43" s="139"/>
      <c r="F43" s="139"/>
      <c r="G43" s="139"/>
      <c r="H43" s="139"/>
      <c r="I43" s="139"/>
    </row>
    <row r="44" spans="1:9" ht="15.5" x14ac:dyDescent="0.3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15.5" x14ac:dyDescent="0.3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5.5" x14ac:dyDescent="0.35">
      <c r="A46" s="139"/>
      <c r="B46" s="139"/>
      <c r="C46" s="139"/>
      <c r="D46" s="139"/>
      <c r="E46" s="139"/>
      <c r="F46" s="139"/>
      <c r="G46" s="139"/>
      <c r="H46" s="139"/>
      <c r="I46" s="139"/>
    </row>
    <row r="47" spans="1:9" ht="15.5" x14ac:dyDescent="0.35">
      <c r="A47" s="139"/>
      <c r="B47" s="139"/>
      <c r="C47" s="139"/>
      <c r="D47" s="139"/>
      <c r="E47" s="139"/>
      <c r="F47" s="139"/>
      <c r="G47" s="139"/>
      <c r="H47" s="139"/>
      <c r="I47" s="139"/>
    </row>
    <row r="48" spans="1:9" ht="15.5" x14ac:dyDescent="0.35">
      <c r="A48" s="139"/>
      <c r="B48" s="139"/>
      <c r="C48" s="139"/>
      <c r="D48" s="139"/>
      <c r="E48" s="139"/>
      <c r="F48" s="139"/>
      <c r="G48" s="139"/>
      <c r="H48" s="139"/>
      <c r="I48" s="139"/>
    </row>
    <row r="49" spans="1:9" ht="15.5" x14ac:dyDescent="0.35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ht="15.5" x14ac:dyDescent="0.35">
      <c r="A50" s="139"/>
      <c r="B50" s="139"/>
      <c r="C50" s="139"/>
      <c r="D50" s="139"/>
      <c r="E50" s="139"/>
      <c r="F50" s="139"/>
      <c r="G50" s="139"/>
      <c r="H50" s="139"/>
      <c r="I50" s="139"/>
    </row>
    <row r="51" spans="1:9" ht="15.5" x14ac:dyDescent="0.35">
      <c r="A51" s="139"/>
      <c r="B51" s="139"/>
      <c r="C51" s="139"/>
      <c r="D51" s="139"/>
      <c r="E51" s="139"/>
      <c r="F51" s="139"/>
      <c r="G51" s="139"/>
      <c r="H51" s="139"/>
      <c r="I51" s="139"/>
    </row>
    <row r="52" spans="1:9" ht="15.5" x14ac:dyDescent="0.35">
      <c r="A52" s="139"/>
      <c r="B52" s="139"/>
      <c r="C52" s="139"/>
      <c r="D52" s="139"/>
      <c r="E52" s="139"/>
      <c r="F52" s="139"/>
      <c r="G52" s="139"/>
      <c r="H52" s="139"/>
      <c r="I52" s="139"/>
    </row>
    <row r="53" spans="1:9" ht="15.5" x14ac:dyDescent="0.35">
      <c r="A53" s="139"/>
      <c r="B53" s="139"/>
      <c r="C53" s="139"/>
      <c r="D53" s="139"/>
      <c r="E53" s="139"/>
      <c r="F53" s="139"/>
      <c r="G53" s="139"/>
      <c r="H53" s="139"/>
      <c r="I53" s="139"/>
    </row>
    <row r="54" spans="1:9" ht="15.5" x14ac:dyDescent="0.35">
      <c r="A54" s="139"/>
      <c r="B54" s="139"/>
      <c r="C54" s="139"/>
      <c r="D54" s="139"/>
      <c r="E54" s="139"/>
      <c r="F54" s="139"/>
      <c r="G54" s="139"/>
      <c r="H54" s="139"/>
      <c r="I54" s="139"/>
    </row>
    <row r="55" spans="1:9" ht="15.5" x14ac:dyDescent="0.35">
      <c r="A55" s="139"/>
      <c r="B55" s="139"/>
      <c r="C55" s="139"/>
      <c r="D55" s="139"/>
      <c r="E55" s="139"/>
      <c r="F55" s="139"/>
      <c r="G55" s="139"/>
      <c r="H55" s="139"/>
      <c r="I55" s="139"/>
    </row>
    <row r="56" spans="1:9" ht="15.5" x14ac:dyDescent="0.35">
      <c r="A56" s="139"/>
      <c r="B56" s="139"/>
      <c r="C56" s="139"/>
      <c r="D56" s="139"/>
      <c r="E56" s="139"/>
      <c r="F56" s="139"/>
      <c r="G56" s="139"/>
      <c r="H56" s="139"/>
      <c r="I56" s="139"/>
    </row>
    <row r="57" spans="1:9" ht="15.5" x14ac:dyDescent="0.35">
      <c r="A57" s="139"/>
      <c r="B57" s="139"/>
      <c r="C57" s="139"/>
      <c r="D57" s="139"/>
      <c r="E57" s="139"/>
      <c r="F57" s="139"/>
      <c r="G57" s="139"/>
      <c r="H57" s="139"/>
      <c r="I57" s="139"/>
    </row>
    <row r="58" spans="1:9" ht="15.5" x14ac:dyDescent="0.35">
      <c r="A58" s="139"/>
      <c r="B58" s="139"/>
      <c r="C58" s="139"/>
      <c r="D58" s="139"/>
      <c r="E58" s="139"/>
      <c r="F58" s="139"/>
      <c r="G58" s="139"/>
      <c r="H58" s="139"/>
      <c r="I58" s="139"/>
    </row>
    <row r="59" spans="1:9" ht="15.5" x14ac:dyDescent="0.35">
      <c r="A59" s="139"/>
      <c r="B59" s="139"/>
      <c r="C59" s="139"/>
      <c r="D59" s="139"/>
      <c r="E59" s="139"/>
      <c r="F59" s="139"/>
      <c r="G59" s="139"/>
      <c r="H59" s="139"/>
      <c r="I59" s="139"/>
    </row>
    <row r="60" spans="1:9" ht="15.5" x14ac:dyDescent="0.35">
      <c r="A60" s="139"/>
      <c r="B60" s="139"/>
      <c r="C60" s="139"/>
      <c r="D60" s="139"/>
      <c r="E60" s="139"/>
      <c r="F60" s="139"/>
      <c r="G60" s="139"/>
      <c r="H60" s="139"/>
      <c r="I60" s="139"/>
    </row>
    <row r="61" spans="1:9" ht="15.5" x14ac:dyDescent="0.35">
      <c r="A61" s="139"/>
      <c r="B61" s="139"/>
      <c r="C61" s="139"/>
      <c r="D61" s="139"/>
      <c r="E61" s="139"/>
      <c r="F61" s="139"/>
      <c r="G61" s="139"/>
      <c r="H61" s="139"/>
      <c r="I61" s="139"/>
    </row>
    <row r="62" spans="1:9" ht="15.5" x14ac:dyDescent="0.35">
      <c r="A62" s="139"/>
      <c r="B62" s="139"/>
      <c r="C62" s="139"/>
      <c r="D62" s="139"/>
      <c r="E62" s="139"/>
      <c r="F62" s="139"/>
      <c r="G62" s="139"/>
      <c r="H62" s="139"/>
      <c r="I62" s="139"/>
    </row>
    <row r="63" spans="1:9" ht="15.5" x14ac:dyDescent="0.35">
      <c r="A63" s="139"/>
      <c r="B63" s="139"/>
      <c r="C63" s="139"/>
      <c r="D63" s="139"/>
      <c r="E63" s="139"/>
      <c r="F63" s="139"/>
      <c r="G63" s="139"/>
      <c r="H63" s="139"/>
      <c r="I63" s="139"/>
    </row>
    <row r="64" spans="1:9" ht="15.5" x14ac:dyDescent="0.35">
      <c r="A64" s="139"/>
      <c r="B64" s="139"/>
      <c r="C64" s="139"/>
      <c r="D64" s="139"/>
      <c r="E64" s="139"/>
      <c r="F64" s="139"/>
      <c r="G64" s="139"/>
      <c r="H64" s="139"/>
      <c r="I64" s="139"/>
    </row>
    <row r="65" spans="1:9" ht="15.5" x14ac:dyDescent="0.35">
      <c r="A65" s="139"/>
      <c r="B65" s="139"/>
      <c r="C65" s="139"/>
      <c r="D65" s="139"/>
      <c r="E65" s="139"/>
      <c r="F65" s="139"/>
      <c r="G65" s="139"/>
      <c r="H65" s="139"/>
      <c r="I65" s="139"/>
    </row>
    <row r="66" spans="1:9" ht="15.5" x14ac:dyDescent="0.35">
      <c r="A66" s="139"/>
      <c r="B66" s="139"/>
      <c r="C66" s="139"/>
      <c r="D66" s="139"/>
      <c r="E66" s="139"/>
      <c r="F66" s="139"/>
      <c r="G66" s="139"/>
      <c r="H66" s="139"/>
      <c r="I66" s="139"/>
    </row>
    <row r="67" spans="1:9" ht="15.5" x14ac:dyDescent="0.35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ht="15.5" x14ac:dyDescent="0.35">
      <c r="A68" s="139"/>
      <c r="B68" s="139"/>
      <c r="C68" s="139"/>
      <c r="D68" s="139"/>
      <c r="E68" s="139"/>
      <c r="F68" s="139"/>
      <c r="G68" s="139"/>
      <c r="H68" s="139"/>
      <c r="I68" s="139"/>
    </row>
    <row r="69" spans="1:9" ht="15.5" x14ac:dyDescent="0.35">
      <c r="A69" s="139"/>
      <c r="B69" s="139"/>
      <c r="C69" s="139"/>
      <c r="D69" s="139"/>
      <c r="E69" s="139"/>
      <c r="F69" s="139"/>
      <c r="G69" s="139"/>
      <c r="H69" s="139"/>
      <c r="I69" s="139"/>
    </row>
    <row r="70" spans="1:9" ht="15.5" x14ac:dyDescent="0.35">
      <c r="A70" s="139"/>
      <c r="B70" s="139"/>
      <c r="C70" s="139"/>
      <c r="D70" s="139"/>
      <c r="E70" s="139"/>
      <c r="F70" s="139"/>
      <c r="G70" s="139"/>
      <c r="H70" s="139"/>
      <c r="I70" s="139"/>
    </row>
    <row r="71" spans="1:9" ht="15.5" x14ac:dyDescent="0.35">
      <c r="A71" s="139"/>
      <c r="B71" s="139"/>
      <c r="C71" s="139"/>
      <c r="D71" s="139"/>
      <c r="E71" s="139"/>
      <c r="F71" s="139"/>
      <c r="G71" s="139"/>
      <c r="H71" s="139"/>
      <c r="I71" s="139"/>
    </row>
    <row r="72" spans="1:9" ht="15.5" x14ac:dyDescent="0.35">
      <c r="A72" s="139"/>
      <c r="B72" s="139"/>
      <c r="C72" s="139"/>
      <c r="D72" s="139"/>
      <c r="E72" s="139"/>
      <c r="F72" s="139"/>
      <c r="G72" s="139"/>
      <c r="H72" s="139"/>
      <c r="I72" s="139"/>
    </row>
    <row r="73" spans="1:9" ht="15.5" x14ac:dyDescent="0.35">
      <c r="A73" s="139"/>
      <c r="B73" s="139"/>
      <c r="C73" s="139"/>
      <c r="D73" s="139"/>
      <c r="E73" s="139"/>
      <c r="F73" s="139"/>
      <c r="G73" s="139"/>
      <c r="H73" s="139"/>
      <c r="I73" s="139"/>
    </row>
    <row r="74" spans="1:9" ht="15.5" x14ac:dyDescent="0.35">
      <c r="A74" s="139"/>
      <c r="B74" s="139"/>
      <c r="C74" s="139"/>
      <c r="D74" s="139"/>
      <c r="E74" s="139"/>
      <c r="F74" s="139"/>
      <c r="G74" s="139"/>
      <c r="H74" s="139"/>
      <c r="I74" s="139"/>
    </row>
    <row r="75" spans="1:9" ht="15.5" x14ac:dyDescent="0.35">
      <c r="A75" s="139"/>
      <c r="B75" s="139"/>
      <c r="C75" s="139"/>
      <c r="D75" s="139"/>
      <c r="E75" s="139"/>
      <c r="F75" s="139"/>
      <c r="G75" s="139"/>
      <c r="H75" s="139"/>
      <c r="I75" s="139"/>
    </row>
    <row r="76" spans="1:9" ht="15.5" x14ac:dyDescent="0.35">
      <c r="A76" s="139"/>
      <c r="B76" s="139"/>
      <c r="C76" s="139"/>
      <c r="D76" s="139"/>
      <c r="E76" s="139"/>
      <c r="F76" s="139"/>
      <c r="G76" s="139"/>
      <c r="H76" s="139"/>
      <c r="I76" s="139"/>
    </row>
    <row r="77" spans="1:9" ht="15.5" x14ac:dyDescent="0.35">
      <c r="A77" s="139"/>
      <c r="B77" s="139"/>
      <c r="C77" s="139"/>
      <c r="D77" s="139"/>
      <c r="E77" s="139"/>
      <c r="F77" s="139"/>
      <c r="G77" s="139"/>
      <c r="H77" s="139"/>
      <c r="I77" s="139"/>
    </row>
    <row r="78" spans="1:9" ht="15.5" x14ac:dyDescent="0.35">
      <c r="A78" s="139"/>
      <c r="B78" s="139"/>
      <c r="C78" s="139"/>
      <c r="D78" s="139"/>
      <c r="E78" s="139"/>
      <c r="F78" s="139"/>
      <c r="G78" s="139"/>
      <c r="H78" s="139"/>
      <c r="I78" s="139"/>
    </row>
    <row r="79" spans="1:9" ht="15.5" x14ac:dyDescent="0.35">
      <c r="A79" s="139"/>
      <c r="B79" s="139"/>
      <c r="C79" s="139"/>
      <c r="D79" s="139"/>
      <c r="E79" s="139"/>
      <c r="F79" s="139"/>
      <c r="G79" s="139"/>
      <c r="H79" s="139"/>
      <c r="I79" s="139"/>
    </row>
    <row r="80" spans="1:9" ht="15.5" x14ac:dyDescent="0.35">
      <c r="A80" s="139"/>
      <c r="B80" s="139"/>
      <c r="C80" s="139"/>
      <c r="D80" s="139"/>
      <c r="E80" s="139"/>
      <c r="F80" s="139"/>
      <c r="G80" s="139"/>
      <c r="H80" s="139"/>
      <c r="I80" s="139"/>
    </row>
    <row r="81" spans="1:9" ht="15.5" x14ac:dyDescent="0.35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t="15.5" x14ac:dyDescent="0.35">
      <c r="A82" s="139"/>
      <c r="B82" s="139"/>
      <c r="C82" s="139"/>
      <c r="D82" s="139"/>
      <c r="E82" s="139"/>
      <c r="F82" s="139"/>
      <c r="G82" s="139"/>
      <c r="H82" s="139"/>
      <c r="I82" s="139"/>
    </row>
    <row r="83" spans="1:9" ht="15.5" x14ac:dyDescent="0.35">
      <c r="A83" s="139"/>
      <c r="B83" s="139"/>
      <c r="C83" s="139"/>
      <c r="D83" s="139"/>
      <c r="E83" s="139"/>
      <c r="F83" s="139"/>
      <c r="G83" s="139"/>
      <c r="H83" s="139"/>
      <c r="I83" s="139"/>
    </row>
    <row r="84" spans="1:9" ht="15.5" x14ac:dyDescent="0.35">
      <c r="A84" s="139"/>
      <c r="B84" s="139"/>
      <c r="C84" s="139"/>
      <c r="D84" s="139"/>
      <c r="E84" s="139"/>
      <c r="F84" s="139"/>
      <c r="G84" s="139"/>
      <c r="H84" s="139"/>
      <c r="I84" s="139"/>
    </row>
    <row r="85" spans="1:9" ht="15.5" x14ac:dyDescent="0.35">
      <c r="A85" s="139"/>
      <c r="B85" s="139"/>
      <c r="C85" s="139"/>
      <c r="D85" s="139"/>
      <c r="E85" s="139"/>
      <c r="F85" s="139"/>
      <c r="G85" s="139"/>
      <c r="H85" s="139"/>
      <c r="I85" s="139"/>
    </row>
    <row r="86" spans="1:9" ht="15.5" x14ac:dyDescent="0.35">
      <c r="A86" s="139"/>
      <c r="B86" s="139"/>
      <c r="C86" s="139"/>
      <c r="D86" s="139"/>
      <c r="E86" s="139"/>
      <c r="F86" s="139"/>
      <c r="G86" s="139"/>
      <c r="H86" s="139"/>
      <c r="I86" s="139"/>
    </row>
    <row r="87" spans="1:9" ht="15.5" x14ac:dyDescent="0.35">
      <c r="A87" s="139"/>
      <c r="B87" s="139"/>
      <c r="C87" s="139"/>
      <c r="D87" s="139"/>
      <c r="E87" s="139"/>
      <c r="F87" s="139"/>
      <c r="G87" s="139"/>
      <c r="H87" s="139"/>
      <c r="I87" s="139"/>
    </row>
    <row r="88" spans="1:9" ht="15.5" x14ac:dyDescent="0.35">
      <c r="A88" s="139"/>
      <c r="B88" s="139"/>
      <c r="C88" s="139"/>
      <c r="D88" s="139"/>
      <c r="E88" s="139"/>
      <c r="F88" s="139"/>
      <c r="G88" s="139"/>
      <c r="H88" s="139"/>
      <c r="I88" s="139"/>
    </row>
    <row r="89" spans="1:9" ht="15.5" x14ac:dyDescent="0.35">
      <c r="A89" s="139"/>
      <c r="B89" s="139"/>
      <c r="C89" s="139"/>
      <c r="D89" s="139"/>
      <c r="E89" s="139"/>
      <c r="F89" s="139"/>
      <c r="G89" s="139"/>
      <c r="H89" s="139"/>
      <c r="I89" s="139"/>
    </row>
    <row r="90" spans="1:9" ht="15.5" x14ac:dyDescent="0.35">
      <c r="A90" s="139"/>
      <c r="B90" s="139"/>
      <c r="C90" s="139"/>
      <c r="D90" s="139"/>
      <c r="E90" s="139"/>
      <c r="F90" s="139"/>
      <c r="G90" s="139"/>
      <c r="H90" s="139"/>
      <c r="I90" s="139"/>
    </row>
    <row r="91" spans="1:9" ht="15.5" x14ac:dyDescent="0.35">
      <c r="A91" s="139"/>
      <c r="B91" s="139"/>
      <c r="C91" s="139"/>
      <c r="D91" s="139"/>
      <c r="E91" s="139"/>
      <c r="F91" s="139"/>
      <c r="G91" s="139"/>
      <c r="H91" s="139"/>
      <c r="I91" s="139"/>
    </row>
    <row r="92" spans="1:9" ht="15.5" x14ac:dyDescent="0.35">
      <c r="A92" s="139"/>
      <c r="B92" s="139"/>
      <c r="C92" s="139"/>
      <c r="D92" s="139"/>
      <c r="E92" s="139"/>
      <c r="F92" s="139"/>
      <c r="G92" s="139"/>
      <c r="H92" s="139"/>
      <c r="I92" s="139"/>
    </row>
    <row r="93" spans="1:9" ht="15.5" x14ac:dyDescent="0.35">
      <c r="A93" s="139"/>
      <c r="B93" s="139"/>
      <c r="C93" s="139"/>
      <c r="D93" s="139"/>
      <c r="E93" s="139"/>
      <c r="F93" s="139"/>
      <c r="G93" s="139"/>
      <c r="H93" s="139"/>
      <c r="I93" s="139"/>
    </row>
    <row r="94" spans="1:9" ht="15.5" x14ac:dyDescent="0.35">
      <c r="A94" s="139"/>
      <c r="B94" s="139"/>
      <c r="C94" s="139"/>
      <c r="D94" s="139"/>
      <c r="E94" s="139"/>
      <c r="F94" s="139"/>
      <c r="G94" s="139"/>
      <c r="H94" s="139"/>
      <c r="I94" s="139"/>
    </row>
    <row r="95" spans="1:9" ht="15.5" x14ac:dyDescent="0.35">
      <c r="A95" s="139"/>
      <c r="B95" s="139"/>
      <c r="C95" s="139"/>
      <c r="D95" s="139"/>
      <c r="E95" s="139"/>
      <c r="F95" s="139"/>
      <c r="G95" s="139"/>
      <c r="H95" s="139"/>
      <c r="I95" s="139"/>
    </row>
    <row r="96" spans="1:9" ht="15.5" x14ac:dyDescent="0.35">
      <c r="A96" s="139"/>
      <c r="B96" s="139"/>
      <c r="C96" s="139"/>
      <c r="D96" s="139"/>
      <c r="E96" s="139"/>
      <c r="F96" s="139"/>
      <c r="G96" s="139"/>
      <c r="H96" s="139"/>
      <c r="I96" s="139"/>
    </row>
    <row r="97" spans="1:9" ht="15.5" x14ac:dyDescent="0.35">
      <c r="A97" s="139"/>
      <c r="B97" s="139"/>
      <c r="C97" s="139"/>
      <c r="D97" s="139"/>
      <c r="E97" s="139"/>
      <c r="F97" s="139"/>
      <c r="G97" s="139"/>
      <c r="H97" s="139"/>
      <c r="I97" s="139"/>
    </row>
    <row r="98" spans="1:9" ht="15.5" x14ac:dyDescent="0.35">
      <c r="A98" s="139"/>
      <c r="B98" s="139"/>
      <c r="C98" s="139"/>
      <c r="D98" s="139"/>
      <c r="E98" s="139"/>
      <c r="F98" s="139"/>
      <c r="G98" s="139"/>
      <c r="H98" s="139"/>
      <c r="I98" s="139"/>
    </row>
    <row r="99" spans="1:9" ht="15.5" x14ac:dyDescent="0.35">
      <c r="A99" s="139"/>
      <c r="B99" s="139"/>
      <c r="C99" s="139"/>
      <c r="D99" s="139"/>
      <c r="E99" s="139"/>
      <c r="F99" s="139"/>
      <c r="G99" s="139"/>
      <c r="H99" s="139"/>
      <c r="I99" s="139"/>
    </row>
    <row r="100" spans="1:9" ht="15.5" x14ac:dyDescent="0.35">
      <c r="A100" s="139"/>
      <c r="B100" s="139"/>
      <c r="C100" s="139"/>
      <c r="D100" s="139"/>
      <c r="E100" s="139"/>
      <c r="F100" s="139"/>
      <c r="G100" s="139"/>
      <c r="H100" s="139"/>
      <c r="I100" s="139"/>
    </row>
    <row r="101" spans="1:9" ht="15.5" x14ac:dyDescent="0.35">
      <c r="A101" s="139"/>
      <c r="B101" s="139"/>
      <c r="C101" s="139"/>
      <c r="D101" s="139"/>
      <c r="E101" s="139"/>
      <c r="F101" s="139"/>
      <c r="G101" s="139"/>
      <c r="H101" s="139"/>
      <c r="I101" s="139"/>
    </row>
    <row r="102" spans="1:9" ht="15.5" x14ac:dyDescent="0.35">
      <c r="A102" s="139"/>
      <c r="B102" s="139"/>
      <c r="C102" s="139"/>
      <c r="D102" s="139"/>
      <c r="E102" s="139"/>
      <c r="F102" s="139"/>
      <c r="G102" s="139"/>
      <c r="H102" s="139"/>
      <c r="I102" s="139"/>
    </row>
    <row r="103" spans="1:9" ht="15.5" x14ac:dyDescent="0.35">
      <c r="A103" s="139"/>
      <c r="B103" s="139"/>
      <c r="C103" s="139"/>
      <c r="D103" s="139"/>
      <c r="E103" s="139"/>
      <c r="F103" s="139"/>
      <c r="G103" s="139"/>
      <c r="H103" s="139"/>
      <c r="I103" s="139"/>
    </row>
    <row r="104" spans="1:9" ht="15.5" x14ac:dyDescent="0.35">
      <c r="A104" s="139"/>
      <c r="B104" s="139"/>
      <c r="C104" s="139"/>
      <c r="D104" s="139"/>
      <c r="E104" s="139"/>
      <c r="F104" s="139"/>
      <c r="G104" s="139"/>
      <c r="H104" s="139"/>
      <c r="I104" s="139"/>
    </row>
    <row r="105" spans="1:9" ht="15.5" x14ac:dyDescent="0.35">
      <c r="A105" s="139"/>
      <c r="B105" s="139"/>
      <c r="C105" s="139"/>
      <c r="D105" s="139"/>
      <c r="E105" s="139"/>
      <c r="F105" s="139"/>
      <c r="G105" s="139"/>
      <c r="H105" s="139"/>
      <c r="I105" s="139"/>
    </row>
    <row r="106" spans="1:9" ht="15.5" x14ac:dyDescent="0.35">
      <c r="A106" s="139"/>
      <c r="B106" s="139"/>
      <c r="C106" s="139"/>
      <c r="D106" s="139"/>
      <c r="E106" s="139"/>
      <c r="F106" s="139"/>
      <c r="G106" s="139"/>
      <c r="H106" s="139"/>
      <c r="I106" s="139"/>
    </row>
    <row r="107" spans="1:9" ht="15.5" x14ac:dyDescent="0.35">
      <c r="A107" s="139"/>
      <c r="B107" s="139"/>
      <c r="C107" s="139"/>
      <c r="D107" s="139"/>
      <c r="E107" s="139"/>
      <c r="F107" s="139"/>
      <c r="G107" s="139"/>
      <c r="H107" s="139"/>
      <c r="I107" s="139"/>
    </row>
    <row r="108" spans="1:9" ht="15.5" x14ac:dyDescent="0.35">
      <c r="A108" s="139"/>
      <c r="B108" s="139"/>
      <c r="C108" s="139"/>
      <c r="D108" s="139"/>
      <c r="E108" s="139"/>
      <c r="F108" s="139"/>
      <c r="G108" s="139"/>
      <c r="H108" s="139"/>
      <c r="I108" s="139"/>
    </row>
    <row r="109" spans="1:9" ht="15.5" x14ac:dyDescent="0.35">
      <c r="A109" s="139"/>
      <c r="B109" s="139"/>
      <c r="C109" s="139"/>
      <c r="D109" s="139"/>
      <c r="E109" s="139"/>
      <c r="F109" s="139"/>
      <c r="G109" s="139"/>
      <c r="H109" s="139"/>
      <c r="I109" s="139"/>
    </row>
    <row r="110" spans="1:9" ht="15.5" x14ac:dyDescent="0.35">
      <c r="A110" s="139"/>
      <c r="B110" s="139"/>
      <c r="C110" s="139"/>
      <c r="D110" s="139"/>
      <c r="E110" s="139"/>
      <c r="F110" s="139"/>
      <c r="G110" s="139"/>
      <c r="H110" s="139"/>
      <c r="I110" s="139"/>
    </row>
    <row r="111" spans="1:9" ht="15.5" x14ac:dyDescent="0.35">
      <c r="A111" s="139"/>
      <c r="B111" s="139"/>
      <c r="C111" s="139"/>
      <c r="D111" s="139"/>
      <c r="E111" s="139"/>
      <c r="F111" s="139"/>
      <c r="G111" s="139"/>
      <c r="H111" s="139"/>
      <c r="I111" s="139"/>
    </row>
    <row r="112" spans="1:9" ht="15.5" x14ac:dyDescent="0.35">
      <c r="A112" s="139"/>
      <c r="B112" s="139"/>
      <c r="C112" s="139"/>
      <c r="D112" s="139"/>
      <c r="E112" s="139"/>
      <c r="F112" s="139"/>
      <c r="G112" s="139"/>
      <c r="H112" s="139"/>
      <c r="I112" s="139"/>
    </row>
    <row r="113" spans="1:9" ht="15.5" x14ac:dyDescent="0.35">
      <c r="A113" s="139"/>
      <c r="B113" s="139"/>
      <c r="C113" s="139"/>
      <c r="D113" s="139"/>
      <c r="E113" s="139"/>
      <c r="F113" s="139"/>
      <c r="G113" s="139"/>
      <c r="H113" s="139"/>
      <c r="I113" s="139"/>
    </row>
    <row r="114" spans="1:9" ht="15.5" x14ac:dyDescent="0.35">
      <c r="A114" s="139"/>
      <c r="B114" s="139"/>
      <c r="C114" s="139"/>
      <c r="D114" s="139"/>
      <c r="E114" s="139"/>
      <c r="F114" s="139"/>
      <c r="G114" s="139"/>
      <c r="H114" s="139"/>
      <c r="I114" s="139"/>
    </row>
    <row r="115" spans="1:9" ht="15.5" x14ac:dyDescent="0.35">
      <c r="A115" s="139"/>
      <c r="B115" s="139"/>
      <c r="C115" s="139"/>
      <c r="D115" s="139"/>
      <c r="E115" s="139"/>
      <c r="F115" s="139"/>
      <c r="G115" s="139"/>
      <c r="H115" s="139"/>
      <c r="I115" s="139"/>
    </row>
    <row r="116" spans="1:9" ht="15.5" x14ac:dyDescent="0.35">
      <c r="A116" s="139"/>
      <c r="B116" s="139"/>
      <c r="C116" s="139"/>
      <c r="D116" s="139"/>
      <c r="E116" s="139"/>
      <c r="F116" s="139"/>
      <c r="G116" s="139"/>
      <c r="H116" s="139"/>
      <c r="I116" s="139"/>
    </row>
    <row r="117" spans="1:9" ht="15.5" x14ac:dyDescent="0.35">
      <c r="A117" s="139"/>
      <c r="B117" s="139"/>
      <c r="C117" s="139"/>
      <c r="D117" s="139"/>
      <c r="E117" s="139"/>
      <c r="F117" s="139"/>
      <c r="G117" s="139"/>
      <c r="H117" s="139"/>
      <c r="I117" s="139"/>
    </row>
    <row r="118" spans="1:9" ht="15.5" x14ac:dyDescent="0.35">
      <c r="A118" s="139"/>
      <c r="B118" s="139"/>
      <c r="C118" s="139"/>
      <c r="D118" s="139"/>
      <c r="E118" s="139"/>
      <c r="F118" s="139"/>
      <c r="G118" s="139"/>
      <c r="H118" s="139"/>
      <c r="I118" s="139"/>
    </row>
    <row r="119" spans="1:9" ht="15.5" x14ac:dyDescent="0.35">
      <c r="A119" s="139"/>
      <c r="B119" s="139"/>
      <c r="C119" s="139"/>
      <c r="D119" s="139"/>
      <c r="E119" s="139"/>
      <c r="F119" s="139"/>
      <c r="G119" s="139"/>
      <c r="H119" s="139"/>
      <c r="I119" s="139"/>
    </row>
    <row r="120" spans="1:9" ht="15.5" x14ac:dyDescent="0.35">
      <c r="A120" s="139"/>
      <c r="B120" s="139"/>
      <c r="C120" s="139"/>
      <c r="D120" s="139"/>
      <c r="E120" s="139"/>
      <c r="F120" s="139"/>
      <c r="G120" s="139"/>
      <c r="H120" s="139"/>
      <c r="I120" s="139"/>
    </row>
    <row r="121" spans="1:9" ht="15.5" x14ac:dyDescent="0.35">
      <c r="A121" s="139"/>
      <c r="B121" s="139"/>
      <c r="C121" s="139"/>
      <c r="D121" s="139"/>
      <c r="E121" s="139"/>
      <c r="F121" s="139"/>
      <c r="G121" s="139"/>
      <c r="H121" s="139"/>
      <c r="I121" s="139"/>
    </row>
    <row r="122" spans="1:9" ht="15.5" x14ac:dyDescent="0.35">
      <c r="A122" s="139"/>
      <c r="B122" s="139"/>
      <c r="C122" s="139"/>
      <c r="D122" s="139"/>
      <c r="E122" s="139"/>
      <c r="F122" s="139"/>
      <c r="G122" s="139"/>
      <c r="H122" s="139"/>
      <c r="I122" s="139"/>
    </row>
    <row r="123" spans="1:9" ht="15.5" x14ac:dyDescent="0.35">
      <c r="A123" s="139"/>
      <c r="B123" s="139"/>
      <c r="C123" s="139"/>
      <c r="D123" s="139"/>
      <c r="E123" s="139"/>
      <c r="F123" s="139"/>
      <c r="G123" s="139"/>
      <c r="H123" s="139"/>
      <c r="I123" s="139"/>
    </row>
  </sheetData>
  <mergeCells count="4">
    <mergeCell ref="A1:I2"/>
    <mergeCell ref="A3:C3"/>
    <mergeCell ref="D3:F3"/>
    <mergeCell ref="G3:I3"/>
  </mergeCells>
  <phoneticPr fontId="2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2"/>
    </sheetView>
  </sheetViews>
  <sheetFormatPr defaultRowHeight="12.5" x14ac:dyDescent="0.25"/>
  <cols>
    <col min="4" max="4" width="12.453125" customWidth="1"/>
    <col min="6" max="7" width="13.26953125" customWidth="1"/>
    <col min="9" max="9" width="15.81640625" customWidth="1"/>
  </cols>
  <sheetData>
    <row r="1" spans="1:9" x14ac:dyDescent="0.25">
      <c r="A1" s="222" t="s">
        <v>150</v>
      </c>
      <c r="B1" s="223"/>
      <c r="C1" s="223"/>
      <c r="D1" s="223"/>
      <c r="E1" s="223"/>
      <c r="F1" s="223"/>
      <c r="G1" s="223"/>
      <c r="H1" s="223"/>
      <c r="I1" s="224"/>
    </row>
    <row r="2" spans="1:9" ht="13" thickBot="1" x14ac:dyDescent="0.3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0.5" thickTop="1" x14ac:dyDescent="0.4">
      <c r="A3" s="228" t="s">
        <v>102</v>
      </c>
      <c r="B3" s="228"/>
      <c r="C3" s="228"/>
      <c r="D3" s="228" t="s">
        <v>104</v>
      </c>
      <c r="E3" s="228"/>
      <c r="F3" s="228"/>
      <c r="G3" s="229" t="s">
        <v>106</v>
      </c>
      <c r="H3" s="229"/>
      <c r="I3" s="230"/>
    </row>
    <row r="4" spans="1:9" ht="20" x14ac:dyDescent="0.4">
      <c r="A4" s="141" t="s">
        <v>107</v>
      </c>
      <c r="B4" s="142"/>
      <c r="C4" s="143"/>
      <c r="D4" s="143"/>
      <c r="E4" s="143"/>
      <c r="F4" s="143"/>
      <c r="G4" s="181">
        <f>'corn-cons'!$L$8</f>
        <v>163.1</v>
      </c>
      <c r="H4" s="182"/>
      <c r="I4" s="183">
        <f>'corn-cons'!$M$8</f>
        <v>195.7</v>
      </c>
    </row>
    <row r="5" spans="1:9" ht="20" x14ac:dyDescent="0.4">
      <c r="A5" s="144" t="s">
        <v>103</v>
      </c>
      <c r="B5" s="144"/>
      <c r="C5" s="145"/>
      <c r="D5" s="146">
        <f>'corn-cons'!I10</f>
        <v>3.65</v>
      </c>
      <c r="E5" s="145" t="s">
        <v>105</v>
      </c>
      <c r="F5" s="147"/>
      <c r="G5" s="156">
        <f>'corn-cons'!$L$10</f>
        <v>595.31499999999994</v>
      </c>
      <c r="H5" s="156"/>
      <c r="I5" s="157">
        <f>'corn-cons'!$M$10</f>
        <v>714.30499999999995</v>
      </c>
    </row>
    <row r="6" spans="1:9" ht="20" x14ac:dyDescent="0.4">
      <c r="F6" s="154"/>
      <c r="G6" s="158"/>
      <c r="H6" s="158"/>
      <c r="I6" s="158"/>
    </row>
    <row r="7" spans="1:9" ht="20" x14ac:dyDescent="0.4">
      <c r="A7" s="149" t="s">
        <v>108</v>
      </c>
      <c r="B7" s="153"/>
      <c r="C7" s="142"/>
      <c r="D7" s="148"/>
      <c r="E7" s="143"/>
      <c r="F7" s="143"/>
      <c r="G7" s="148"/>
      <c r="H7" s="148"/>
      <c r="I7" s="148"/>
    </row>
    <row r="8" spans="1:9" ht="20" x14ac:dyDescent="0.4">
      <c r="A8" s="144" t="s">
        <v>160</v>
      </c>
      <c r="B8" s="144"/>
      <c r="C8" s="144"/>
      <c r="D8" s="206"/>
      <c r="E8" s="145"/>
      <c r="F8" s="145"/>
      <c r="G8" s="207">
        <f>'corn-cons'!$L$38</f>
        <v>411.6372737998135</v>
      </c>
      <c r="H8" s="207"/>
      <c r="I8" s="208">
        <f>'corn-cons'!$M$38</f>
        <v>464.0569986321305</v>
      </c>
    </row>
    <row r="9" spans="1:9" ht="20" x14ac:dyDescent="0.4">
      <c r="C9" s="184" t="s">
        <v>163</v>
      </c>
      <c r="G9" s="209">
        <f>('corn-cons'!$L$38)/G4</f>
        <v>2.5238336836285318</v>
      </c>
      <c r="H9" s="42"/>
      <c r="I9" s="209">
        <f>('corn-cons'!$M$38)/I4</f>
        <v>2.3712672387947396</v>
      </c>
    </row>
    <row r="10" spans="1:9" ht="20" x14ac:dyDescent="0.4">
      <c r="A10" s="149" t="s">
        <v>111</v>
      </c>
      <c r="B10" s="142"/>
      <c r="C10" s="143"/>
      <c r="D10" s="143"/>
      <c r="E10" s="143"/>
      <c r="F10" s="163"/>
      <c r="G10" s="164"/>
      <c r="H10" s="164"/>
      <c r="I10" s="164"/>
    </row>
    <row r="11" spans="1:9" ht="20" x14ac:dyDescent="0.4">
      <c r="A11" s="169" t="s">
        <v>161</v>
      </c>
      <c r="B11" s="169"/>
      <c r="C11" s="169"/>
      <c r="D11" s="169"/>
      <c r="E11" s="169"/>
      <c r="F11" s="169"/>
      <c r="G11" s="156">
        <f>'corn-cons'!$L$48</f>
        <v>435.27413281249994</v>
      </c>
      <c r="H11" s="170"/>
      <c r="I11" s="157">
        <f>'corn-cons'!$M$48</f>
        <v>504.2236328125</v>
      </c>
    </row>
    <row r="12" spans="1:9" ht="20" x14ac:dyDescent="0.4">
      <c r="A12" s="204" t="s">
        <v>162</v>
      </c>
      <c r="B12" s="205"/>
      <c r="C12" s="201"/>
      <c r="D12" s="202"/>
      <c r="E12" s="202"/>
      <c r="F12" s="202"/>
      <c r="G12" s="203"/>
      <c r="H12" s="203"/>
      <c r="I12" s="203"/>
    </row>
    <row r="13" spans="1:9" ht="20" x14ac:dyDescent="0.4">
      <c r="A13" s="194" t="s">
        <v>162</v>
      </c>
      <c r="B13" s="194"/>
      <c r="C13" s="194"/>
      <c r="D13" s="194"/>
      <c r="E13" s="194"/>
      <c r="F13" s="194"/>
      <c r="G13" s="161">
        <f>'corn-cons'!$L$50</f>
        <v>846.91140661231339</v>
      </c>
      <c r="H13" s="161"/>
      <c r="I13" s="162">
        <f>'corn-cons'!$M$50</f>
        <v>968.28063144463044</v>
      </c>
    </row>
    <row r="14" spans="1:9" ht="20" x14ac:dyDescent="0.4">
      <c r="C14" s="184" t="s">
        <v>159</v>
      </c>
      <c r="G14" s="209">
        <f>'corn-cons'!$L$51</f>
        <v>5.1925898627364404</v>
      </c>
      <c r="H14" s="42"/>
      <c r="I14" s="209">
        <f>'corn-cons'!$M$51</f>
        <v>4.9477804366102731</v>
      </c>
    </row>
    <row r="15" spans="1:9" ht="20" x14ac:dyDescent="0.4">
      <c r="A15" s="149" t="s">
        <v>115</v>
      </c>
      <c r="B15" s="142"/>
      <c r="C15" s="143"/>
      <c r="D15" s="143"/>
      <c r="E15" s="143"/>
      <c r="F15" s="143"/>
      <c r="G15" s="148"/>
      <c r="H15" s="148"/>
      <c r="I15" s="148"/>
    </row>
    <row r="16" spans="1:9" ht="20" x14ac:dyDescent="0.4">
      <c r="A16" s="210" t="s">
        <v>164</v>
      </c>
      <c r="B16" s="180"/>
      <c r="C16" s="180"/>
      <c r="D16" s="180"/>
      <c r="E16" s="180"/>
      <c r="F16" s="180"/>
      <c r="G16" s="156">
        <f>'corn-cons'!$L$53</f>
        <v>204.92772620018644</v>
      </c>
      <c r="H16" s="156"/>
      <c r="I16" s="157">
        <f>'corn-cons'!$M$53</f>
        <v>271.49800136786945</v>
      </c>
    </row>
    <row r="17" spans="1:9" ht="20" x14ac:dyDescent="0.4">
      <c r="A17" s="212" t="s">
        <v>165</v>
      </c>
      <c r="B17" s="150"/>
      <c r="C17" s="150"/>
      <c r="D17" s="150"/>
      <c r="E17" s="150"/>
      <c r="F17" s="150"/>
      <c r="G17" s="159">
        <f>'corn-cons'!$L$54</f>
        <v>-7.2273799813615369E-2</v>
      </c>
      <c r="H17" s="159"/>
      <c r="I17" s="160">
        <f>'corn-cons'!$M$54</f>
        <v>3.4980013678695059</v>
      </c>
    </row>
    <row r="18" spans="1:9" ht="20" x14ac:dyDescent="0.4">
      <c r="A18" s="212" t="s">
        <v>166</v>
      </c>
      <c r="B18" s="213"/>
      <c r="C18" s="213"/>
      <c r="D18" s="213"/>
      <c r="E18" s="213"/>
      <c r="F18" s="213"/>
      <c r="G18" s="159">
        <f>'corn-cons'!$L$55</f>
        <v>-230.34640661231344</v>
      </c>
      <c r="H18" s="159"/>
      <c r="I18" s="160">
        <f>'corn-cons'!$M$55</f>
        <v>-232.72563144463049</v>
      </c>
    </row>
    <row r="19" spans="1:9" ht="20" x14ac:dyDescent="0.4">
      <c r="A19" s="214" t="s">
        <v>116</v>
      </c>
      <c r="B19" s="150"/>
      <c r="C19" s="150"/>
      <c r="D19" s="150"/>
      <c r="E19" s="150"/>
      <c r="F19" s="150"/>
      <c r="G19" s="159">
        <f>'corn-cons'!$L$56</f>
        <v>-25.346406612313444</v>
      </c>
      <c r="H19" s="159"/>
      <c r="I19" s="160">
        <f>'corn-cons'!$M$56</f>
        <v>35.274368555369506</v>
      </c>
    </row>
    <row r="20" spans="1:9" ht="20" x14ac:dyDescent="0.4">
      <c r="A20" s="212" t="s">
        <v>167</v>
      </c>
      <c r="B20" s="213"/>
      <c r="C20" s="213"/>
      <c r="D20" s="213"/>
      <c r="E20" s="213"/>
      <c r="F20" s="213"/>
      <c r="G20" s="159">
        <f>'corn-cons'!$L$57</f>
        <v>-154.51815661231345</v>
      </c>
      <c r="H20" s="159"/>
      <c r="I20" s="160">
        <f>'corn-cons'!$M$57</f>
        <v>-150.9478814446305</v>
      </c>
    </row>
    <row r="21" spans="1:9" ht="20" x14ac:dyDescent="0.4">
      <c r="A21" s="211" t="s">
        <v>168</v>
      </c>
      <c r="B21" s="144"/>
      <c r="C21" s="144"/>
      <c r="D21" s="144"/>
      <c r="E21" s="144"/>
      <c r="F21" s="144"/>
      <c r="G21" s="161">
        <f>'corn-cons'!$L$58</f>
        <v>50.481843387686553</v>
      </c>
      <c r="H21" s="161"/>
      <c r="I21" s="162">
        <f>'corn-cons'!$M$58</f>
        <v>117.0521185553695</v>
      </c>
    </row>
  </sheetData>
  <mergeCells count="4">
    <mergeCell ref="A1:I2"/>
    <mergeCell ref="A3:C3"/>
    <mergeCell ref="D3:F3"/>
    <mergeCell ref="G3:I3"/>
  </mergeCells>
  <pageMargins left="0.7" right="0.7" top="0.75" bottom="0.75" header="0.3" footer="0.3"/>
  <pageSetup orientation="portrait" r:id="rId1"/>
  <ignoredErrors>
    <ignoredError sqref="I19 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corn-cons</vt:lpstr>
      <vt:lpstr>machinery costs</vt:lpstr>
      <vt:lpstr>Quick Stats</vt:lpstr>
      <vt:lpstr>QuickStats Totals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Julie Moose</cp:lastModifiedBy>
  <cp:lastPrinted>2015-05-15T16:35:18Z</cp:lastPrinted>
  <dcterms:created xsi:type="dcterms:W3CDTF">2002-12-27T15:34:03Z</dcterms:created>
  <dcterms:modified xsi:type="dcterms:W3CDTF">2016-12-01T16:37:03Z</dcterms:modified>
</cp:coreProperties>
</file>