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cowcalf" sheetId="1" r:id="rId1"/>
    <sheet name="Buildings and Machinery" sheetId="2" r:id="rId2"/>
  </sheets>
  <calcPr calcId="152511"/>
</workbook>
</file>

<file path=xl/calcChain.xml><?xml version="1.0" encoding="utf-8"?>
<calcChain xmlns="http://schemas.openxmlformats.org/spreadsheetml/2006/main">
  <c r="I22" i="2" l="1"/>
  <c r="I23" i="2"/>
  <c r="I24" i="2"/>
  <c r="I21" i="2"/>
  <c r="I4" i="2"/>
  <c r="I5" i="2"/>
  <c r="I6" i="2"/>
  <c r="I7" i="2"/>
  <c r="I8" i="2"/>
  <c r="I9" i="2"/>
  <c r="I10" i="2"/>
  <c r="I3" i="2"/>
  <c r="M30" i="1"/>
  <c r="L30" i="1"/>
  <c r="C22" i="2"/>
  <c r="D22" i="2" s="1"/>
  <c r="E22" i="2"/>
  <c r="C23" i="2"/>
  <c r="E23" i="2" s="1"/>
  <c r="C24" i="2"/>
  <c r="E24" i="2"/>
  <c r="D24" i="2"/>
  <c r="F24" i="2" s="1"/>
  <c r="C21" i="2"/>
  <c r="E21" i="2"/>
  <c r="C4" i="2"/>
  <c r="E4" i="2" s="1"/>
  <c r="C5" i="2"/>
  <c r="E5" i="2"/>
  <c r="C6" i="2"/>
  <c r="D6" i="2" s="1"/>
  <c r="E6" i="2"/>
  <c r="C7" i="2"/>
  <c r="E7" i="2"/>
  <c r="D7" i="2" s="1"/>
  <c r="C8" i="2"/>
  <c r="E8" i="2" s="1"/>
  <c r="D8" i="2" s="1"/>
  <c r="C9" i="2"/>
  <c r="E9" i="2" s="1"/>
  <c r="C10" i="2"/>
  <c r="C3" i="2"/>
  <c r="M35" i="1"/>
  <c r="L35" i="1"/>
  <c r="G24" i="1"/>
  <c r="L24" i="1" s="1"/>
  <c r="L31" i="1" s="1"/>
  <c r="M24" i="1"/>
  <c r="K22" i="2"/>
  <c r="K23" i="2"/>
  <c r="K24" i="2"/>
  <c r="K21" i="2"/>
  <c r="K10" i="2"/>
  <c r="K4" i="2"/>
  <c r="K5" i="2"/>
  <c r="K6" i="2"/>
  <c r="K7" i="2"/>
  <c r="K8" i="2"/>
  <c r="K9" i="2"/>
  <c r="K3" i="2"/>
  <c r="L29" i="1"/>
  <c r="L28" i="1"/>
  <c r="L26" i="1"/>
  <c r="L25" i="1"/>
  <c r="M26" i="1"/>
  <c r="M25" i="1"/>
  <c r="M29" i="1"/>
  <c r="M31" i="1" s="1"/>
  <c r="M28" i="1"/>
  <c r="G46" i="1"/>
  <c r="M46" i="1"/>
  <c r="L45" i="1"/>
  <c r="E10" i="2"/>
  <c r="D10" i="2"/>
  <c r="F10" i="2" s="1"/>
  <c r="E3" i="2"/>
  <c r="D3" i="2" s="1"/>
  <c r="M45" i="1"/>
  <c r="M14" i="1"/>
  <c r="L14" i="1"/>
  <c r="M13" i="1"/>
  <c r="M16" i="1" s="1"/>
  <c r="L13" i="1"/>
  <c r="M11" i="1"/>
  <c r="L11" i="1"/>
  <c r="L16" i="1" s="1"/>
  <c r="L42" i="1"/>
  <c r="L43" i="1"/>
  <c r="L46" i="1"/>
  <c r="M42" i="1"/>
  <c r="M43" i="1"/>
  <c r="G10" i="2"/>
  <c r="D5" i="2"/>
  <c r="F5" i="2" s="1"/>
  <c r="J5" i="2" s="1"/>
  <c r="L5" i="2" s="1"/>
  <c r="G24" i="2"/>
  <c r="D4" i="2"/>
  <c r="G5" i="2"/>
  <c r="H5" i="2"/>
  <c r="D9" i="2"/>
  <c r="H4" i="2"/>
  <c r="F22" i="2" l="1"/>
  <c r="H22" i="2"/>
  <c r="G22" i="2"/>
  <c r="F7" i="2"/>
  <c r="J7" i="2" s="1"/>
  <c r="L7" i="2" s="1"/>
  <c r="H7" i="2"/>
  <c r="G7" i="2"/>
  <c r="F9" i="2"/>
  <c r="J9" i="2" s="1"/>
  <c r="L9" i="2" s="1"/>
  <c r="H9" i="2"/>
  <c r="G9" i="2"/>
  <c r="F4" i="2"/>
  <c r="J4" i="2" s="1"/>
  <c r="L4" i="2" s="1"/>
  <c r="G4" i="2"/>
  <c r="F37" i="1"/>
  <c r="M49" i="1"/>
  <c r="H3" i="2"/>
  <c r="G3" i="2"/>
  <c r="F3" i="2"/>
  <c r="J3" i="2" s="1"/>
  <c r="L3" i="2" s="1"/>
  <c r="J24" i="2"/>
  <c r="L24" i="2" s="1"/>
  <c r="L49" i="1"/>
  <c r="H8" i="2"/>
  <c r="G8" i="2"/>
  <c r="F8" i="2"/>
  <c r="F6" i="2"/>
  <c r="J6" i="2" s="1"/>
  <c r="L6" i="2" s="1"/>
  <c r="H6" i="2"/>
  <c r="G6" i="2"/>
  <c r="H10" i="2"/>
  <c r="J10" i="2" s="1"/>
  <c r="L10" i="2" s="1"/>
  <c r="D23" i="2"/>
  <c r="H24" i="2"/>
  <c r="D21" i="2"/>
  <c r="L11" i="2" l="1"/>
  <c r="G23" i="2"/>
  <c r="H23" i="2"/>
  <c r="F23" i="2"/>
  <c r="J23" i="2" s="1"/>
  <c r="L23" i="2" s="1"/>
  <c r="F21" i="2"/>
  <c r="J21" i="2" s="1"/>
  <c r="L21" i="2" s="1"/>
  <c r="H21" i="2"/>
  <c r="G21" i="2"/>
  <c r="J8" i="2"/>
  <c r="L8" i="2" s="1"/>
  <c r="J22" i="2"/>
  <c r="L22" i="2" s="1"/>
  <c r="M37" i="1"/>
  <c r="M39" i="1" s="1"/>
  <c r="M57" i="1" s="1"/>
  <c r="L37" i="1"/>
  <c r="L39" i="1" s="1"/>
  <c r="L57" i="1" s="1"/>
  <c r="L48" i="1" l="1"/>
  <c r="M48" i="1"/>
  <c r="L25" i="2"/>
  <c r="M47" i="1" l="1"/>
  <c r="M51" i="1" s="1"/>
  <c r="M53" i="1" s="1"/>
  <c r="M58" i="1" s="1"/>
  <c r="M59" i="1" s="1"/>
  <c r="L47" i="1"/>
  <c r="L51" i="1" s="1"/>
  <c r="L53" i="1" s="1"/>
  <c r="L58" i="1" s="1"/>
  <c r="L59" i="1" s="1"/>
</calcChain>
</file>

<file path=xl/sharedStrings.xml><?xml version="1.0" encoding="utf-8"?>
<sst xmlns="http://schemas.openxmlformats.org/spreadsheetml/2006/main" count="176" uniqueCount="152">
  <si>
    <t>ITEM</t>
  </si>
  <si>
    <t>EXPLANATION</t>
  </si>
  <si>
    <t>YOUR</t>
  </si>
  <si>
    <t>BUDGET</t>
  </si>
  <si>
    <t>VARIABLE  COSTS</t>
  </si>
  <si>
    <t>/ton</t>
  </si>
  <si>
    <t>TOTAL VARIABLE COSTS</t>
  </si>
  <si>
    <t>FIXED COSTS</t>
  </si>
  <si>
    <t>TOTAL FIXED COSTS</t>
  </si>
  <si>
    <t>TOTAL COSTS</t>
  </si>
  <si>
    <t>RETURN ABOVE VARIABLE COSTS</t>
  </si>
  <si>
    <t>RETURN ABOVE TOTAL COSTS</t>
  </si>
  <si>
    <t>UNIT</t>
  </si>
  <si>
    <t>PRICE PER</t>
  </si>
  <si>
    <t>Your</t>
  </si>
  <si>
    <t>Prod</t>
  </si>
  <si>
    <t>Numbers</t>
  </si>
  <si>
    <t xml:space="preserve">Values highlighted in gold may be changed to assist in computing "Your Budget" Column using macros embeded within  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</si>
  <si>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</si>
  <si>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</si>
  <si>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 spreadsheet.</t>
  </si>
  <si>
    <t>These cells may be input manually, but macros will be overwritten!</t>
  </si>
  <si>
    <t>Return to labor and management is the revenue less total expenses except operator labor and management.</t>
  </si>
  <si>
    <t>It is a measure of the returns to the operator's labor and management.</t>
  </si>
  <si>
    <t>/ lb</t>
  </si>
  <si>
    <t>Feeder Calf</t>
  </si>
  <si>
    <t>TOTAL RECEIPTS</t>
  </si>
  <si>
    <t>/lb</t>
  </si>
  <si>
    <t>mo</t>
  </si>
  <si>
    <t>hrs</t>
  </si>
  <si>
    <t>/hr</t>
  </si>
  <si>
    <t>/cow</t>
  </si>
  <si>
    <t>Rep. Rate</t>
  </si>
  <si>
    <t>Bull Cost</t>
  </si>
  <si>
    <t>Cows/bull</t>
  </si>
  <si>
    <t>Average weaning weight = 550 @ % Calf Crop Weaned</t>
  </si>
  <si>
    <t>Calf Crop Weaned can be calculated by: Number of calves weaned / Number of cows</t>
  </si>
  <si>
    <t>Amount</t>
  </si>
  <si>
    <t>lbs</t>
  </si>
  <si>
    <t>Avg. Weight/ Calves Sold</t>
  </si>
  <si>
    <t>% Calf Crop Weaned</t>
  </si>
  <si>
    <t>Cull Cows</t>
  </si>
  <si>
    <t>Cull Bulls</t>
  </si>
  <si>
    <t>% Cull Rate</t>
  </si>
  <si>
    <t>% Death Loss</t>
  </si>
  <si>
    <t>Cull Value</t>
  </si>
  <si>
    <r>
      <t xml:space="preserve">Feed </t>
    </r>
    <r>
      <rPr>
        <b/>
        <vertAlign val="superscript"/>
        <sz val="10"/>
        <rFont val="Arial"/>
        <family val="2"/>
      </rPr>
      <t>2</t>
    </r>
  </si>
  <si>
    <t>Mineral</t>
  </si>
  <si>
    <t>TOTAL FEED COSTS</t>
  </si>
  <si>
    <t>Buildings</t>
  </si>
  <si>
    <t>Cost</t>
  </si>
  <si>
    <r>
      <t>Salvage Value</t>
    </r>
    <r>
      <rPr>
        <vertAlign val="superscript"/>
        <sz val="10"/>
        <rFont val="Arial"/>
        <family val="2"/>
      </rPr>
      <t>1</t>
    </r>
  </si>
  <si>
    <r>
      <t>Average Value</t>
    </r>
    <r>
      <rPr>
        <vertAlign val="superscript"/>
        <sz val="9"/>
        <rFont val="Arial"/>
        <family val="2"/>
      </rPr>
      <t>2</t>
    </r>
  </si>
  <si>
    <r>
      <t>Interest</t>
    </r>
    <r>
      <rPr>
        <vertAlign val="superscript"/>
        <sz val="9"/>
        <rFont val="Arial"/>
        <family val="2"/>
      </rPr>
      <t>4</t>
    </r>
  </si>
  <si>
    <r>
      <t>Insurance</t>
    </r>
    <r>
      <rPr>
        <vertAlign val="superscript"/>
        <sz val="9"/>
        <rFont val="Arial"/>
        <family val="2"/>
      </rPr>
      <t>5</t>
    </r>
  </si>
  <si>
    <r>
      <t xml:space="preserve">Property Tax </t>
    </r>
    <r>
      <rPr>
        <vertAlign val="superscript"/>
        <sz val="9"/>
        <rFont val="Arial"/>
        <family val="2"/>
      </rPr>
      <t>6</t>
    </r>
  </si>
  <si>
    <t>Total</t>
  </si>
  <si>
    <t>Head</t>
  </si>
  <si>
    <t>Cost/Head</t>
  </si>
  <si>
    <t>Handling Facilities</t>
  </si>
  <si>
    <t>Waterers</t>
  </si>
  <si>
    <t>Gates</t>
  </si>
  <si>
    <t>Well &amp; Press System</t>
  </si>
  <si>
    <t>Total Cost/head: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</si>
  <si>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Average value is the summation of (Cost plus Salvage Value Plus 1-year Depreciation) divided by 2</t>
    </r>
  </si>
  <si>
    <r>
      <t>Repairs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</si>
  <si>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20 years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</si>
  <si>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Insurance assumes Average Value times .5%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</si>
  <si>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Property Tax assumes Average Value times .5%</t>
    </r>
  </si>
  <si>
    <t>Machinery</t>
  </si>
  <si>
    <r>
      <t>Housing</t>
    </r>
    <r>
      <rPr>
        <vertAlign val="superscript"/>
        <sz val="9"/>
        <rFont val="Arial"/>
        <family val="2"/>
      </rPr>
      <t>6</t>
    </r>
  </si>
  <si>
    <t>Tractor &amp; Loader</t>
  </si>
  <si>
    <t>Miscellaneous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</si>
  <si>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Housing assumes Average Value times 1%</t>
    </r>
  </si>
  <si>
    <r>
      <t xml:space="preserve">RECEIPTS </t>
    </r>
    <r>
      <rPr>
        <b/>
        <vertAlign val="superscript"/>
        <sz val="10"/>
        <rFont val="Arial"/>
        <family val="2"/>
      </rPr>
      <t>1</t>
    </r>
  </si>
  <si>
    <r>
      <t xml:space="preserve">Health Program </t>
    </r>
    <r>
      <rPr>
        <b/>
        <vertAlign val="superscript"/>
        <sz val="10"/>
        <rFont val="Arial"/>
        <family val="2"/>
      </rPr>
      <t>3</t>
    </r>
  </si>
  <si>
    <r>
      <t xml:space="preserve">Marketing </t>
    </r>
    <r>
      <rPr>
        <b/>
        <vertAlign val="superscript"/>
        <sz val="10"/>
        <rFont val="Arial"/>
        <family val="2"/>
      </rPr>
      <t>4</t>
    </r>
  </si>
  <si>
    <r>
      <t xml:space="preserve">Supplies and Misc </t>
    </r>
    <r>
      <rPr>
        <b/>
        <vertAlign val="superscript"/>
        <sz val="10"/>
        <rFont val="Arial"/>
        <family val="2"/>
      </rPr>
      <t>5</t>
    </r>
  </si>
  <si>
    <r>
      <t xml:space="preserve">Int. on Operating Cap. </t>
    </r>
    <r>
      <rPr>
        <b/>
        <vertAlign val="superscript"/>
        <sz val="10"/>
        <rFont val="Arial"/>
        <family val="2"/>
      </rPr>
      <t>6</t>
    </r>
  </si>
  <si>
    <r>
      <t xml:space="preserve">Labor Charge </t>
    </r>
    <r>
      <rPr>
        <b/>
        <vertAlign val="superscript"/>
        <sz val="10"/>
        <rFont val="Arial"/>
        <family val="2"/>
      </rPr>
      <t>7</t>
    </r>
  </si>
  <si>
    <r>
      <t xml:space="preserve">Cow Replacement </t>
    </r>
    <r>
      <rPr>
        <b/>
        <vertAlign val="superscript"/>
        <sz val="10"/>
        <rFont val="Arial"/>
        <family val="2"/>
      </rPr>
      <t>8</t>
    </r>
  </si>
  <si>
    <r>
      <t>Breeding (Cost/Cow)</t>
    </r>
    <r>
      <rPr>
        <b/>
        <vertAlign val="superscript"/>
        <sz val="10"/>
        <rFont val="Arial"/>
        <family val="2"/>
      </rPr>
      <t xml:space="preserve"> 9</t>
    </r>
  </si>
  <si>
    <r>
      <t xml:space="preserve">Int. on Breed Stock </t>
    </r>
    <r>
      <rPr>
        <b/>
        <vertAlign val="superscript"/>
        <sz val="10"/>
        <rFont val="Arial"/>
        <family val="2"/>
      </rPr>
      <t>10</t>
    </r>
  </si>
  <si>
    <r>
      <t xml:space="preserve">Management Charge </t>
    </r>
    <r>
      <rPr>
        <b/>
        <vertAlign val="superscript"/>
        <sz val="10"/>
        <rFont val="Arial"/>
        <family val="2"/>
      </rPr>
      <t>12</t>
    </r>
  </si>
  <si>
    <t>Authors:</t>
  </si>
  <si>
    <t>Steve Boyles, Extension Beef Specialist</t>
  </si>
  <si>
    <t>David Dugan, Extension Educator. ANR, Brown, County</t>
  </si>
  <si>
    <t>Jeff Fisher, Pike County</t>
  </si>
  <si>
    <t>Stan Smith, Extension P.A., Fairfield County</t>
  </si>
  <si>
    <t>Barry Ward, Leader, Production Business Management</t>
  </si>
  <si>
    <r>
      <t xml:space="preserve">RETURN TO LABOR AND MANAGEMENT </t>
    </r>
    <r>
      <rPr>
        <b/>
        <vertAlign val="superscript"/>
        <sz val="10"/>
        <rFont val="Arial"/>
        <family val="2"/>
      </rPr>
      <t>13</t>
    </r>
  </si>
  <si>
    <t>Costs of health program estimated by authors based on industry experience and expertise</t>
  </si>
  <si>
    <t>Costs of marketing estimated by authors based on industry experience and expertise</t>
  </si>
  <si>
    <t>Costs of supplies other other expenses estimated by authors based on industry experience and expertise</t>
  </si>
  <si>
    <t>of gross revenue</t>
  </si>
  <si>
    <t>Corn Silage</t>
  </si>
  <si>
    <t>lb</t>
  </si>
  <si>
    <t>Pens &amp; Fence</t>
  </si>
  <si>
    <t>Calf Shelters</t>
  </si>
  <si>
    <t>Bunk Feeders</t>
  </si>
  <si>
    <t>Feed Storage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</si>
  <si>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30 years</t>
    </r>
  </si>
  <si>
    <t>Stock Trailer</t>
  </si>
  <si>
    <t>Truck</t>
  </si>
  <si>
    <t>Assumes the cost of wages and benefits</t>
  </si>
  <si>
    <t>Assumes that the cost to replace is 20% of of the cow.</t>
  </si>
  <si>
    <t>Breeding Cost taking the Replacement rate of 33%, the cost of a bull, and the cows per bull</t>
  </si>
  <si>
    <t>Average of bull cost and cull bull value divided by cows per bull plus the average of price per cow and cull cows</t>
  </si>
  <si>
    <t>Management charge is 5% of gross revenue</t>
  </si>
  <si>
    <t>Pasture (Hay Equivalent)</t>
  </si>
  <si>
    <t>Hay</t>
  </si>
  <si>
    <t>Days on Pasture</t>
  </si>
  <si>
    <t>days</t>
  </si>
  <si>
    <t>2a</t>
  </si>
  <si>
    <t>Days on Hay or Silage automatically adjusts to days on pasture (i.e. 260 days on pasture changes hay formula to 105 days)</t>
  </si>
  <si>
    <t>Days on Feed Concentrate</t>
  </si>
  <si>
    <r>
      <t>Feed Concentrate</t>
    </r>
    <r>
      <rPr>
        <vertAlign val="superscript"/>
        <sz val="10"/>
        <rFont val="Arial"/>
        <family val="2"/>
      </rPr>
      <t xml:space="preserve"> 2a</t>
    </r>
  </si>
  <si>
    <r>
      <t>Deprec.</t>
    </r>
    <r>
      <rPr>
        <vertAlign val="superscript"/>
        <sz val="9"/>
        <rFont val="Arial"/>
        <family val="2"/>
      </rPr>
      <t>3</t>
    </r>
  </si>
  <si>
    <t>Spring Calving - Sell 205 Days, 550 lbs</t>
  </si>
  <si>
    <t>Tractor &amp; Loader, Stock Trailer are at 50% of New Value</t>
  </si>
  <si>
    <t>Truck assumes 25% of $30,000 New Value Pickup</t>
  </si>
  <si>
    <r>
      <t xml:space="preserve">Equipment Charge </t>
    </r>
    <r>
      <rPr>
        <b/>
        <vertAlign val="superscript"/>
        <sz val="10"/>
        <rFont val="Arial"/>
        <family val="2"/>
      </rPr>
      <t>11a</t>
    </r>
  </si>
  <si>
    <r>
      <t xml:space="preserve">Buildings Charge </t>
    </r>
    <r>
      <rPr>
        <b/>
        <vertAlign val="superscript"/>
        <sz val="10"/>
        <rFont val="Arial"/>
        <family val="2"/>
      </rPr>
      <t>11b</t>
    </r>
  </si>
  <si>
    <t>11a</t>
  </si>
  <si>
    <t>Machinery cost calculations are located on the next worksheet - Click Building and Machinery below</t>
  </si>
  <si>
    <t>11b</t>
  </si>
  <si>
    <t>Cows on Pasture (including opens)</t>
  </si>
  <si>
    <t>acres</t>
  </si>
  <si>
    <t>cows</t>
  </si>
  <si>
    <t>/acre</t>
  </si>
  <si>
    <t>Pasture Acres</t>
  </si>
  <si>
    <t>Pasture Value (per acre)</t>
  </si>
  <si>
    <t>Acres per Cow</t>
  </si>
  <si>
    <t>Seth Wilkerson, AEDE Undergrad. Student</t>
  </si>
  <si>
    <t>Cows per Bull</t>
  </si>
  <si>
    <t>Other</t>
  </si>
  <si>
    <t>Bedding</t>
  </si>
  <si>
    <t>Cull cows: Cull value X (20% cull rate - 1% death loss)</t>
  </si>
  <si>
    <t xml:space="preserve">Cull bulls: Cull value X (25% culling rate - .5% death loss)/number of cows/bull </t>
  </si>
  <si>
    <t>Assumes total feeding of 365 days - pasture feeding of 225 days and Hay or Silage feeding of 140 days</t>
  </si>
  <si>
    <t xml:space="preserve">Feed Concentrate assumes a 70% corn/30% soybean meal mix </t>
  </si>
  <si>
    <t>Includes 1/2 cost of feed, health program, supplies, and misc for 12 months at 5% interest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</si>
  <si>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Cost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</si>
  <si>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Interest assumes Average Value times 6%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</si>
  <si>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New Cost</t>
    </r>
  </si>
  <si>
    <t>Mike Estadt, Extension Educator, Pickaway County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</si>
  <si>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New Building Cost times 1%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</si>
  <si>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New Equipment cost times 2%</t>
    </r>
  </si>
  <si>
    <t>tons</t>
  </si>
  <si>
    <t>John Grimes, Extension Beef Coordinator, Highland County</t>
  </si>
  <si>
    <t>2013 Cow - Calf Budget</t>
  </si>
  <si>
    <t>Trey Miller, AEDE Undergrad.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</si>
</sst>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72" formatCode="0.0%"/>
    <numFmt numFmtId="173" formatCode="_(* #,##0_);_(* \(#,##0\);_(* &quot;-&quot;??_);_(@_)"/>
    <numFmt numFmtId="176" formatCode="&quot;$&quot;#,##0.000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1" fontId="4" fillId="0" borderId="2" xfId="0" applyNumberFormat="1" applyFont="1" applyBorder="1"/>
    <xf numFmtId="1" fontId="2" fillId="0" borderId="0" xfId="0" applyNumberFormat="1" applyFont="1" applyBorder="1"/>
    <xf numFmtId="0" fontId="4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right"/>
    </xf>
    <xf numFmtId="172" fontId="2" fillId="0" borderId="0" xfId="0" applyNumberFormat="1" applyFont="1"/>
    <xf numFmtId="2" fontId="0" fillId="0" borderId="0" xfId="0" applyNumberFormat="1"/>
    <xf numFmtId="0" fontId="4" fillId="0" borderId="2" xfId="0" applyFont="1" applyBorder="1" applyAlignment="1">
      <alignment horizontal="center"/>
    </xf>
    <xf numFmtId="0" fontId="8" fillId="0" borderId="0" xfId="0" applyFont="1"/>
    <xf numFmtId="165" fontId="4" fillId="2" borderId="0" xfId="0" applyNumberFormat="1" applyFont="1" applyFill="1" applyBorder="1"/>
    <xf numFmtId="4" fontId="4" fillId="0" borderId="0" xfId="0" applyNumberFormat="1" applyFont="1" applyFill="1" applyBorder="1"/>
    <xf numFmtId="4" fontId="4" fillId="3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Alignment="1"/>
    <xf numFmtId="165" fontId="9" fillId="4" borderId="0" xfId="0" applyNumberFormat="1" applyFont="1" applyFill="1"/>
    <xf numFmtId="0" fontId="9" fillId="4" borderId="0" xfId="0" applyFont="1" applyFill="1"/>
    <xf numFmtId="2" fontId="10" fillId="0" borderId="0" xfId="0" applyNumberFormat="1" applyFont="1" applyBorder="1"/>
    <xf numFmtId="0" fontId="10" fillId="0" borderId="0" xfId="0" applyFont="1"/>
    <xf numFmtId="2" fontId="10" fillId="0" borderId="0" xfId="0" applyNumberFormat="1" applyFont="1"/>
    <xf numFmtId="165" fontId="0" fillId="0" borderId="0" xfId="0" applyNumberFormat="1"/>
    <xf numFmtId="0" fontId="11" fillId="0" borderId="0" xfId="0" applyFont="1"/>
    <xf numFmtId="0" fontId="2" fillId="0" borderId="0" xfId="0" applyNumberFormat="1" applyFont="1" applyFill="1"/>
    <xf numFmtId="4" fontId="4" fillId="2" borderId="0" xfId="0" applyNumberFormat="1" applyFont="1" applyFill="1"/>
    <xf numFmtId="43" fontId="2" fillId="0" borderId="0" xfId="0" applyNumberFormat="1" applyFont="1"/>
    <xf numFmtId="0" fontId="10" fillId="0" borderId="0" xfId="0" applyFont="1" applyFill="1" applyBorder="1"/>
    <xf numFmtId="0" fontId="4" fillId="0" borderId="0" xfId="0" applyFont="1" applyAlignment="1"/>
    <xf numFmtId="4" fontId="2" fillId="0" borderId="0" xfId="0" applyNumberFormat="1" applyFont="1"/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2" fontId="2" fillId="0" borderId="2" xfId="0" applyNumberFormat="1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/>
    <xf numFmtId="14" fontId="4" fillId="0" borderId="0" xfId="0" applyNumberFormat="1" applyFont="1"/>
    <xf numFmtId="0" fontId="11" fillId="0" borderId="0" xfId="0" applyFont="1" applyFill="1" applyBorder="1"/>
    <xf numFmtId="0" fontId="2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/>
    <xf numFmtId="176" fontId="9" fillId="0" borderId="0" xfId="0" applyNumberFormat="1" applyFont="1" applyFill="1"/>
    <xf numFmtId="0" fontId="9" fillId="0" borderId="0" xfId="0" applyNumberFormat="1" applyFont="1" applyFill="1" applyAlignment="1"/>
    <xf numFmtId="0" fontId="2" fillId="0" borderId="0" xfId="0" applyFont="1" applyFill="1" applyAlignment="1"/>
    <xf numFmtId="43" fontId="4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Fill="1"/>
    <xf numFmtId="43" fontId="4" fillId="2" borderId="0" xfId="0" applyNumberFormat="1" applyFont="1" applyFill="1"/>
    <xf numFmtId="4" fontId="4" fillId="2" borderId="0" xfId="0" applyNumberFormat="1" applyFont="1" applyFill="1" applyBorder="1"/>
    <xf numFmtId="1" fontId="2" fillId="0" borderId="3" xfId="0" applyNumberFormat="1" applyFont="1" applyBorder="1"/>
    <xf numFmtId="0" fontId="4" fillId="0" borderId="3" xfId="0" applyFont="1" applyFill="1" applyBorder="1"/>
    <xf numFmtId="2" fontId="2" fillId="0" borderId="4" xfId="0" applyNumberFormat="1" applyFont="1" applyBorder="1"/>
    <xf numFmtId="2" fontId="4" fillId="2" borderId="4" xfId="0" applyNumberFormat="1" applyFont="1" applyFill="1" applyBorder="1"/>
    <xf numFmtId="0" fontId="4" fillId="0" borderId="0" xfId="0" quotePrefix="1" applyNumberFormat="1" applyFont="1" applyFill="1" applyAlignment="1"/>
    <xf numFmtId="0" fontId="4" fillId="0" borderId="0" xfId="0" quotePrefix="1" applyFont="1" applyFill="1" applyAlignment="1"/>
    <xf numFmtId="172" fontId="9" fillId="4" borderId="0" xfId="0" applyNumberFormat="1" applyFont="1" applyFill="1"/>
    <xf numFmtId="9" fontId="14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9" fontId="9" fillId="4" borderId="0" xfId="0" applyNumberFormat="1" applyFont="1" applyFill="1"/>
    <xf numFmtId="4" fontId="4" fillId="0" borderId="3" xfId="0" applyNumberFormat="1" applyFont="1" applyFill="1" applyBorder="1"/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" xfId="0" applyFont="1" applyFill="1" applyBorder="1"/>
    <xf numFmtId="2" fontId="4" fillId="0" borderId="1" xfId="0" applyNumberFormat="1" applyFont="1" applyBorder="1" applyAlignment="1"/>
    <xf numFmtId="165" fontId="9" fillId="4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165" fontId="2" fillId="0" borderId="0" xfId="0" applyNumberFormat="1" applyFont="1"/>
    <xf numFmtId="9" fontId="9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/>
    <xf numFmtId="1" fontId="4" fillId="2" borderId="0" xfId="0" applyNumberFormat="1" applyFont="1" applyFill="1"/>
    <xf numFmtId="165" fontId="4" fillId="0" borderId="0" xfId="0" applyNumberFormat="1" applyFont="1" applyFill="1" applyBorder="1"/>
    <xf numFmtId="43" fontId="4" fillId="2" borderId="0" xfId="0" applyNumberFormat="1" applyFont="1" applyFill="1" applyBorder="1"/>
    <xf numFmtId="0" fontId="0" fillId="0" borderId="1" xfId="0" applyBorder="1"/>
    <xf numFmtId="2" fontId="2" fillId="0" borderId="4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5" borderId="0" xfId="0" applyNumberFormat="1" applyFont="1" applyFill="1"/>
    <xf numFmtId="0" fontId="9" fillId="0" borderId="0" xfId="0" applyNumberFormat="1" applyFont="1" applyFill="1"/>
    <xf numFmtId="6" fontId="9" fillId="5" borderId="0" xfId="0" applyNumberFormat="1" applyFont="1" applyFill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6" fontId="10" fillId="6" borderId="0" xfId="0" applyNumberFormat="1" applyFont="1" applyFill="1" applyBorder="1"/>
    <xf numFmtId="6" fontId="10" fillId="0" borderId="0" xfId="0" applyNumberFormat="1" applyFont="1" applyFill="1" applyBorder="1"/>
    <xf numFmtId="6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8" fontId="0" fillId="0" borderId="0" xfId="0" applyNumberFormat="1"/>
    <xf numFmtId="2" fontId="4" fillId="5" borderId="0" xfId="0" applyNumberFormat="1" applyFont="1" applyFill="1"/>
    <xf numFmtId="0" fontId="2" fillId="6" borderId="0" xfId="0" applyFont="1" applyFill="1"/>
    <xf numFmtId="2" fontId="4" fillId="5" borderId="1" xfId="0" applyNumberFormat="1" applyFont="1" applyFill="1" applyBorder="1"/>
    <xf numFmtId="2" fontId="4" fillId="5" borderId="0" xfId="0" applyNumberFormat="1" applyFont="1" applyFill="1" applyBorder="1"/>
    <xf numFmtId="2" fontId="4" fillId="5" borderId="2" xfId="0" applyNumberFormat="1" applyFont="1" applyFill="1" applyBorder="1"/>
    <xf numFmtId="0" fontId="7" fillId="0" borderId="1" xfId="0" applyFont="1" applyBorder="1"/>
    <xf numFmtId="2" fontId="4" fillId="7" borderId="0" xfId="0" applyNumberFormat="1" applyFont="1" applyFill="1"/>
    <xf numFmtId="0" fontId="7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/>
    <xf numFmtId="0" fontId="10" fillId="0" borderId="1" xfId="0" applyFont="1" applyBorder="1"/>
    <xf numFmtId="6" fontId="10" fillId="6" borderId="1" xfId="0" applyNumberFormat="1" applyFont="1" applyFill="1" applyBorder="1"/>
    <xf numFmtId="164" fontId="10" fillId="0" borderId="1" xfId="0" applyNumberFormat="1" applyFont="1" applyBorder="1"/>
    <xf numFmtId="164" fontId="0" fillId="0" borderId="1" xfId="0" applyNumberFormat="1" applyBorder="1"/>
    <xf numFmtId="0" fontId="10" fillId="0" borderId="2" xfId="0" applyFont="1" applyBorder="1"/>
    <xf numFmtId="6" fontId="10" fillId="6" borderId="2" xfId="0" applyNumberFormat="1" applyFont="1" applyFill="1" applyBorder="1"/>
    <xf numFmtId="164" fontId="10" fillId="0" borderId="2" xfId="0" applyNumberFormat="1" applyFont="1" applyBorder="1"/>
    <xf numFmtId="164" fontId="0" fillId="0" borderId="2" xfId="0" applyNumberFormat="1" applyBorder="1"/>
    <xf numFmtId="165" fontId="0" fillId="0" borderId="0" xfId="0" applyNumberFormat="1" applyBorder="1"/>
    <xf numFmtId="0" fontId="9" fillId="6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3" fillId="0" borderId="0" xfId="0" applyFont="1" applyFill="1"/>
    <xf numFmtId="0" fontId="8" fillId="0" borderId="0" xfId="0" quotePrefix="1" applyFont="1" applyFill="1"/>
    <xf numFmtId="0" fontId="8" fillId="0" borderId="0" xfId="0" applyFont="1" applyFill="1"/>
    <xf numFmtId="2" fontId="8" fillId="0" borderId="0" xfId="0" applyNumberFormat="1" applyFont="1" applyFill="1"/>
    <xf numFmtId="2" fontId="8" fillId="0" borderId="0" xfId="0" quotePrefix="1" applyNumberFormat="1" applyFont="1" applyFill="1"/>
    <xf numFmtId="0" fontId="17" fillId="0" borderId="0" xfId="0" applyFont="1"/>
    <xf numFmtId="0" fontId="5" fillId="0" borderId="0" xfId="0" applyFont="1" applyFill="1" applyBorder="1"/>
    <xf numFmtId="0" fontId="8" fillId="0" borderId="0" xfId="0" applyFont="1" applyFill="1" applyBorder="1"/>
    <xf numFmtId="2" fontId="2" fillId="0" borderId="0" xfId="0" applyNumberFormat="1" applyFont="1" applyFill="1" applyBorder="1"/>
    <xf numFmtId="2" fontId="10" fillId="0" borderId="0" xfId="0" applyNumberFormat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/>
    </xf>
    <xf numFmtId="164" fontId="10" fillId="0" borderId="0" xfId="0" quotePrefix="1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center"/>
    </xf>
    <xf numFmtId="9" fontId="10" fillId="0" borderId="0" xfId="4" applyFont="1" applyFill="1" applyBorder="1"/>
    <xf numFmtId="165" fontId="0" fillId="0" borderId="0" xfId="0" applyNumberForma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3" fontId="11" fillId="0" borderId="0" xfId="1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9" fontId="11" fillId="0" borderId="0" xfId="4" applyFont="1" applyFill="1" applyBorder="1" applyAlignment="1">
      <alignment horizontal="right"/>
    </xf>
    <xf numFmtId="9" fontId="10" fillId="0" borderId="0" xfId="4" applyFont="1" applyFill="1" applyBorder="1" applyAlignment="1">
      <alignment horizontal="right"/>
    </xf>
    <xf numFmtId="173" fontId="10" fillId="0" borderId="0" xfId="1" applyNumberFormat="1" applyFont="1" applyFill="1" applyBorder="1"/>
    <xf numFmtId="2" fontId="11" fillId="0" borderId="0" xfId="0" applyNumberFormat="1" applyFont="1" applyFill="1" applyBorder="1"/>
    <xf numFmtId="173" fontId="11" fillId="0" borderId="0" xfId="0" applyNumberFormat="1" applyFont="1" applyFill="1" applyBorder="1" applyAlignment="1">
      <alignment horizontal="right"/>
    </xf>
    <xf numFmtId="7" fontId="11" fillId="0" borderId="0" xfId="2" applyNumberFormat="1" applyFont="1" applyFill="1" applyBorder="1"/>
    <xf numFmtId="0" fontId="12" fillId="0" borderId="0" xfId="3" applyFill="1" applyBorder="1" applyAlignment="1" applyProtection="1"/>
    <xf numFmtId="17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/>
    <xf numFmtId="0" fontId="10" fillId="0" borderId="0" xfId="0" applyFont="1" applyBorder="1"/>
    <xf numFmtId="164" fontId="10" fillId="0" borderId="0" xfId="0" applyNumberFormat="1" applyFont="1" applyBorder="1"/>
    <xf numFmtId="164" fontId="0" fillId="0" borderId="0" xfId="0" applyNumberFormat="1" applyBorder="1"/>
    <xf numFmtId="164" fontId="4" fillId="5" borderId="1" xfId="0" applyNumberFormat="1" applyFont="1" applyFill="1" applyBorder="1"/>
    <xf numFmtId="0" fontId="0" fillId="6" borderId="1" xfId="0" applyFill="1" applyBorder="1"/>
    <xf numFmtId="164" fontId="4" fillId="5" borderId="0" xfId="0" applyNumberFormat="1" applyFont="1" applyFill="1" applyBorder="1"/>
    <xf numFmtId="0" fontId="0" fillId="6" borderId="0" xfId="0" applyFill="1" applyBorder="1"/>
    <xf numFmtId="164" fontId="4" fillId="5" borderId="2" xfId="0" applyNumberFormat="1" applyFont="1" applyFill="1" applyBorder="1"/>
    <xf numFmtId="0" fontId="0" fillId="6" borderId="2" xfId="0" applyFill="1" applyBorder="1"/>
    <xf numFmtId="3" fontId="9" fillId="4" borderId="0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17" fillId="0" borderId="0" xfId="0" applyFont="1" applyAlignment="1">
      <alignment horizontal="right"/>
    </xf>
    <xf numFmtId="40" fontId="2" fillId="0" borderId="0" xfId="0" applyNumberFormat="1" applyFont="1"/>
    <xf numFmtId="40" fontId="4" fillId="2" borderId="0" xfId="0" applyNumberFormat="1" applyFont="1" applyFill="1"/>
    <xf numFmtId="8" fontId="0" fillId="0" borderId="1" xfId="0" applyNumberFormat="1" applyBorder="1"/>
    <xf numFmtId="2" fontId="0" fillId="0" borderId="0" xfId="0" applyNumberFormat="1" applyFill="1"/>
    <xf numFmtId="2" fontId="4" fillId="0" borderId="0" xfId="0" applyNumberFormat="1" applyFont="1" applyFill="1"/>
    <xf numFmtId="2" fontId="4" fillId="7" borderId="0" xfId="0" applyNumberFormat="1" applyFont="1" applyFill="1" applyBorder="1"/>
    <xf numFmtId="43" fontId="4" fillId="8" borderId="0" xfId="2" applyNumberFormat="1" applyFont="1" applyFill="1" applyBorder="1"/>
    <xf numFmtId="0" fontId="13" fillId="0" borderId="0" xfId="0" applyFont="1"/>
    <xf numFmtId="0" fontId="4" fillId="5" borderId="0" xfId="0" applyNumberFormat="1" applyFont="1" applyFill="1"/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9" fillId="6" borderId="0" xfId="0" applyNumberFormat="1" applyFont="1" applyFill="1"/>
    <xf numFmtId="0" fontId="4" fillId="6" borderId="0" xfId="0" applyFont="1" applyFill="1"/>
    <xf numFmtId="165" fontId="2" fillId="0" borderId="0" xfId="0" applyNumberFormat="1" applyFont="1" applyFill="1"/>
    <xf numFmtId="165" fontId="4" fillId="5" borderId="0" xfId="0" applyNumberFormat="1" applyFont="1" applyFill="1"/>
    <xf numFmtId="8" fontId="0" fillId="0" borderId="0" xfId="0" applyNumberFormat="1" applyBorder="1"/>
    <xf numFmtId="8" fontId="0" fillId="0" borderId="2" xfId="0" applyNumberFormat="1" applyBorder="1"/>
    <xf numFmtId="0" fontId="2" fillId="0" borderId="0" xfId="0" applyFont="1" applyFill="1" applyBorder="1" applyAlignment="1"/>
    <xf numFmtId="2" fontId="11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25400</xdr:rowOff>
    </xdr:from>
    <xdr:to>
      <xdr:col>2</xdr:col>
      <xdr:colOff>476250</xdr:colOff>
      <xdr:row>4</xdr:row>
      <xdr:rowOff>76200</xdr:rowOff>
    </xdr:to>
    <xdr:pic>
      <xdr:nvPicPr>
        <xdr:cNvPr id="1134" name="Picture 3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5400"/>
          <a:ext cx="742950" cy="8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view="pageBreakPreview" zoomScaleNormal="100" zoomScaleSheetLayoutView="100" workbookViewId="0">
      <selection activeCell="D1" sqref="D1:L1"/>
    </sheetView>
  </sheetViews>
  <sheetFormatPr defaultRowHeight="12.5" x14ac:dyDescent="0.25"/>
  <cols>
    <col min="1" max="1" width="2.81640625" customWidth="1"/>
    <col min="2" max="2" width="2.54296875" customWidth="1"/>
    <col min="4" max="4" width="7.7265625" customWidth="1"/>
    <col min="5" max="5" width="10.453125" bestFit="1" customWidth="1"/>
    <col min="6" max="6" width="9.453125" customWidth="1"/>
    <col min="7" max="8" width="8.81640625" customWidth="1"/>
    <col min="9" max="9" width="9.7265625" bestFit="1" customWidth="1"/>
    <col min="10" max="10" width="7.26953125" customWidth="1"/>
    <col min="11" max="11" width="10.7265625" style="17" customWidth="1"/>
    <col min="12" max="12" width="10.1796875" style="17" customWidth="1"/>
    <col min="13" max="13" width="9.26953125" bestFit="1" customWidth="1"/>
  </cols>
  <sheetData>
    <row r="1" spans="1:13" ht="15" customHeight="1" x14ac:dyDescent="0.35">
      <c r="B1" s="24"/>
      <c r="C1" s="24"/>
      <c r="D1" s="201" t="s">
        <v>150</v>
      </c>
      <c r="E1" s="201"/>
      <c r="F1" s="201"/>
      <c r="G1" s="201"/>
      <c r="H1" s="201"/>
      <c r="I1" s="201"/>
      <c r="J1" s="201"/>
      <c r="K1" s="201"/>
      <c r="L1" s="201"/>
      <c r="M1" s="24"/>
    </row>
    <row r="2" spans="1:13" ht="15.75" customHeight="1" x14ac:dyDescent="0.3">
      <c r="A2" s="1"/>
      <c r="B2" s="1"/>
      <c r="C2" s="1"/>
      <c r="D2" s="202" t="s">
        <v>118</v>
      </c>
      <c r="E2" s="202"/>
      <c r="F2" s="202"/>
      <c r="G2" s="202"/>
      <c r="H2" s="202"/>
      <c r="I2" s="202"/>
      <c r="J2" s="202"/>
      <c r="K2" s="202"/>
      <c r="L2" s="202"/>
      <c r="M2" s="1"/>
    </row>
    <row r="3" spans="1:13" ht="15.75" customHeight="1" x14ac:dyDescent="0.3">
      <c r="A3" s="1"/>
      <c r="B3" s="1"/>
      <c r="C3" s="1"/>
      <c r="D3" s="90"/>
      <c r="L3" s="90"/>
      <c r="M3" s="1"/>
    </row>
    <row r="4" spans="1:13" ht="15.75" customHeight="1" x14ac:dyDescent="0.3">
      <c r="A4" s="1"/>
      <c r="B4" s="1"/>
      <c r="C4" s="1"/>
      <c r="D4" s="90"/>
      <c r="L4" s="90"/>
      <c r="M4" s="1"/>
    </row>
    <row r="5" spans="1:13" ht="13" x14ac:dyDescent="0.3">
      <c r="A5" s="1"/>
      <c r="B5" s="1"/>
      <c r="C5" s="1"/>
      <c r="D5" s="1"/>
      <c r="L5" s="2"/>
      <c r="M5" s="48">
        <v>41394</v>
      </c>
    </row>
    <row r="6" spans="1:13" ht="15.5" x14ac:dyDescent="0.35">
      <c r="A6" s="1"/>
      <c r="B6" s="1"/>
      <c r="C6" s="1"/>
      <c r="D6" s="1"/>
      <c r="E6" s="1"/>
      <c r="F6" s="1"/>
      <c r="G6" s="3"/>
      <c r="H6" s="3"/>
      <c r="I6" s="1"/>
      <c r="J6" s="2"/>
      <c r="K6" s="2"/>
      <c r="L6" s="2"/>
      <c r="M6" s="32"/>
    </row>
    <row r="7" spans="1:13" ht="13" x14ac:dyDescent="0.3">
      <c r="A7" s="4"/>
      <c r="B7" s="5" t="s">
        <v>0</v>
      </c>
      <c r="C7" s="5"/>
      <c r="D7" s="5"/>
      <c r="E7" s="5"/>
      <c r="F7" s="199" t="s">
        <v>1</v>
      </c>
      <c r="G7" s="199"/>
      <c r="H7" s="6" t="s">
        <v>14</v>
      </c>
      <c r="I7" s="88"/>
      <c r="J7" s="199" t="s">
        <v>13</v>
      </c>
      <c r="K7" s="199"/>
      <c r="L7" s="78" t="s">
        <v>37</v>
      </c>
      <c r="M7" s="6" t="s">
        <v>2</v>
      </c>
    </row>
    <row r="8" spans="1:13" ht="13" x14ac:dyDescent="0.3">
      <c r="A8" s="7"/>
      <c r="B8" s="7"/>
      <c r="C8" s="7"/>
      <c r="D8" s="7"/>
      <c r="E8" s="7"/>
      <c r="F8" s="7"/>
      <c r="G8" s="7"/>
      <c r="H8" s="9" t="s">
        <v>15</v>
      </c>
      <c r="J8" s="200" t="s">
        <v>12</v>
      </c>
      <c r="K8" s="200"/>
      <c r="L8" s="8"/>
      <c r="M8" s="9" t="s">
        <v>3</v>
      </c>
    </row>
    <row r="9" spans="1:13" ht="13" x14ac:dyDescent="0.3">
      <c r="A9" s="10"/>
      <c r="B9" s="10"/>
      <c r="C9" s="10"/>
      <c r="D9" s="10"/>
      <c r="E9" s="10"/>
      <c r="F9" s="10"/>
      <c r="G9" s="10"/>
      <c r="H9" s="18" t="s">
        <v>16</v>
      </c>
      <c r="I9" s="10"/>
      <c r="J9" s="10"/>
      <c r="K9" s="11"/>
      <c r="L9" s="11"/>
      <c r="M9" s="77"/>
    </row>
    <row r="10" spans="1:13" ht="32" x14ac:dyDescent="0.3">
      <c r="A10" s="13" t="s">
        <v>74</v>
      </c>
      <c r="B10" s="1"/>
      <c r="C10" s="1"/>
      <c r="D10" s="1"/>
      <c r="E10" s="60"/>
      <c r="F10" s="80" t="s">
        <v>39</v>
      </c>
      <c r="H10" s="80" t="s">
        <v>40</v>
      </c>
      <c r="I10" s="1"/>
      <c r="J10" s="1"/>
      <c r="K10" s="14"/>
      <c r="L10" s="14"/>
      <c r="M10" s="13"/>
    </row>
    <row r="11" spans="1:13" ht="13" x14ac:dyDescent="0.3">
      <c r="A11" s="1"/>
      <c r="B11" s="1" t="s">
        <v>25</v>
      </c>
      <c r="C11" s="1"/>
      <c r="D11" s="1"/>
      <c r="E11" s="61"/>
      <c r="F11" s="176">
        <v>550</v>
      </c>
      <c r="G11" t="s">
        <v>38</v>
      </c>
      <c r="H11" s="73">
        <v>0.81</v>
      </c>
      <c r="J11" s="25">
        <v>1.45</v>
      </c>
      <c r="K11" s="1" t="s">
        <v>24</v>
      </c>
      <c r="L11" s="81">
        <f>$F$11*$H$11*$J$11</f>
        <v>645.97500000000002</v>
      </c>
      <c r="M11" s="20">
        <f>$F$11*$H$11*$J$11</f>
        <v>645.97500000000002</v>
      </c>
    </row>
    <row r="12" spans="1:13" ht="13" x14ac:dyDescent="0.3">
      <c r="A12" s="1"/>
      <c r="B12" s="1"/>
      <c r="C12" s="1"/>
      <c r="D12" s="1"/>
      <c r="E12" s="13" t="s">
        <v>45</v>
      </c>
      <c r="F12" s="59"/>
      <c r="G12" s="83" t="s">
        <v>43</v>
      </c>
      <c r="H12" s="59"/>
      <c r="I12" s="84" t="s">
        <v>44</v>
      </c>
      <c r="K12" s="13" t="s">
        <v>134</v>
      </c>
      <c r="L12" s="81"/>
      <c r="M12" s="86"/>
    </row>
    <row r="13" spans="1:13" ht="13" x14ac:dyDescent="0.3">
      <c r="A13" s="1"/>
      <c r="B13" s="1" t="s">
        <v>41</v>
      </c>
      <c r="C13" s="1"/>
      <c r="D13" s="1"/>
      <c r="E13" s="79">
        <v>1000</v>
      </c>
      <c r="F13" s="59"/>
      <c r="G13" s="73">
        <v>0.2</v>
      </c>
      <c r="H13" s="59"/>
      <c r="I13" s="73">
        <v>0.01</v>
      </c>
      <c r="L13" s="81">
        <f>$E$13*($G$13-$I$13)</f>
        <v>190</v>
      </c>
      <c r="M13" s="33">
        <f>$E$13*($G$13-$I$13)</f>
        <v>190</v>
      </c>
    </row>
    <row r="14" spans="1:13" ht="13" x14ac:dyDescent="0.3">
      <c r="A14" s="1"/>
      <c r="B14" s="1" t="s">
        <v>42</v>
      </c>
      <c r="C14" s="1"/>
      <c r="D14" s="1"/>
      <c r="E14" s="25">
        <v>1750</v>
      </c>
      <c r="F14" s="1"/>
      <c r="G14" s="73">
        <v>0.25</v>
      </c>
      <c r="H14" s="1"/>
      <c r="I14" s="70">
        <v>5.0000000000000001E-3</v>
      </c>
      <c r="K14" s="127">
        <v>25</v>
      </c>
      <c r="L14" s="14">
        <f>$E$14*($G$14-$I$14)/$K$14</f>
        <v>17.149999999999999</v>
      </c>
      <c r="M14" s="85">
        <f>$E$14*($G$14-$I$14)/$K$14</f>
        <v>17.149999999999999</v>
      </c>
    </row>
    <row r="15" spans="1:13" ht="3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  <c r="L15" s="64"/>
      <c r="M15" s="65"/>
    </row>
    <row r="16" spans="1:13" ht="13" x14ac:dyDescent="0.3">
      <c r="A16" s="13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75"/>
      <c r="L16" s="75">
        <f>SUM(L11:L14)</f>
        <v>853.125</v>
      </c>
      <c r="M16" s="87">
        <f>SUM(M11:M14)</f>
        <v>853.125</v>
      </c>
    </row>
    <row r="17" spans="1:13" ht="13" x14ac:dyDescent="0.3">
      <c r="A17" s="13"/>
      <c r="B17" s="1"/>
      <c r="C17" s="1"/>
      <c r="D17" s="1"/>
      <c r="E17" s="1"/>
      <c r="F17" s="1"/>
      <c r="G17" s="1"/>
      <c r="H17" s="1"/>
      <c r="I17" s="1"/>
      <c r="J17" s="1"/>
      <c r="K17" s="14"/>
      <c r="L17" s="14"/>
      <c r="M17" s="23"/>
    </row>
    <row r="18" spans="1:13" ht="13" x14ac:dyDescent="0.3">
      <c r="A18" s="13" t="s">
        <v>4</v>
      </c>
      <c r="B18" s="1"/>
      <c r="C18" s="1"/>
      <c r="D18" s="1"/>
      <c r="E18" s="36"/>
      <c r="F18" s="36"/>
      <c r="G18" s="36"/>
      <c r="H18" s="36"/>
      <c r="I18" s="1"/>
      <c r="J18" s="1"/>
      <c r="K18" s="14"/>
      <c r="L18" s="14"/>
      <c r="M18" s="23"/>
    </row>
    <row r="19" spans="1:13" ht="15" x14ac:dyDescent="0.3">
      <c r="A19" s="1"/>
      <c r="B19" s="1" t="s">
        <v>46</v>
      </c>
      <c r="C19" s="1"/>
      <c r="D19" s="1"/>
      <c r="E19" s="1"/>
      <c r="F19" s="50"/>
      <c r="G19" s="50"/>
      <c r="H19" s="51"/>
      <c r="I19" s="52"/>
      <c r="J19" s="50"/>
      <c r="K19" s="53"/>
      <c r="L19" s="53"/>
      <c r="M19" s="21"/>
    </row>
    <row r="20" spans="1:13" ht="13" x14ac:dyDescent="0.3">
      <c r="A20" s="1"/>
      <c r="B20" s="1"/>
      <c r="C20" s="1" t="s">
        <v>111</v>
      </c>
      <c r="D20" s="1"/>
      <c r="E20" s="1"/>
      <c r="F20" s="50"/>
      <c r="G20" s="127">
        <v>225</v>
      </c>
      <c r="H20" s="51"/>
      <c r="I20" s="52"/>
      <c r="J20" s="50"/>
      <c r="K20" s="53"/>
      <c r="L20" s="53"/>
      <c r="M20" s="21"/>
    </row>
    <row r="21" spans="1:13" ht="13" x14ac:dyDescent="0.3">
      <c r="A21" s="1"/>
      <c r="B21" s="1"/>
      <c r="C21" s="1" t="s">
        <v>126</v>
      </c>
      <c r="G21" s="127">
        <v>100</v>
      </c>
      <c r="H21" s="1" t="s">
        <v>128</v>
      </c>
    </row>
    <row r="22" spans="1:13" ht="13" x14ac:dyDescent="0.3">
      <c r="A22" s="1"/>
      <c r="B22" s="1"/>
      <c r="C22" s="1" t="s">
        <v>132</v>
      </c>
      <c r="G22" s="127">
        <v>1.75</v>
      </c>
      <c r="H22" s="1" t="s">
        <v>127</v>
      </c>
    </row>
    <row r="23" spans="1:13" x14ac:dyDescent="0.25">
      <c r="A23" s="1"/>
      <c r="B23" s="1"/>
      <c r="C23" s="1"/>
      <c r="G23" s="130" t="s">
        <v>130</v>
      </c>
      <c r="H23" s="1"/>
      <c r="I23" s="186" t="s">
        <v>131</v>
      </c>
    </row>
    <row r="24" spans="1:13" ht="13" x14ac:dyDescent="0.3">
      <c r="A24" s="1"/>
      <c r="B24" s="1"/>
      <c r="C24" s="1" t="s">
        <v>109</v>
      </c>
      <c r="D24" s="1"/>
      <c r="E24" s="1"/>
      <c r="F24" s="50"/>
      <c r="G24" s="26">
        <f>G21*G22</f>
        <v>175</v>
      </c>
      <c r="H24" s="50" t="s">
        <v>127</v>
      </c>
      <c r="I24" s="25">
        <v>50</v>
      </c>
      <c r="J24" s="2" t="s">
        <v>129</v>
      </c>
      <c r="L24" s="53">
        <f>($G24*I24)/G21</f>
        <v>87.5</v>
      </c>
      <c r="M24" s="92">
        <f>($G24*I24)/G21</f>
        <v>87.5</v>
      </c>
    </row>
    <row r="25" spans="1:13" ht="13" x14ac:dyDescent="0.3">
      <c r="A25" s="1"/>
      <c r="B25" s="1"/>
      <c r="C25" s="1" t="s">
        <v>110</v>
      </c>
      <c r="D25" s="1"/>
      <c r="E25" s="1"/>
      <c r="F25" s="50"/>
      <c r="G25" s="26">
        <v>28</v>
      </c>
      <c r="H25" s="50" t="s">
        <v>38</v>
      </c>
      <c r="I25" s="25">
        <v>180</v>
      </c>
      <c r="J25" s="2" t="s">
        <v>5</v>
      </c>
      <c r="L25" s="53">
        <f>($G25*(365-G20))*($I25/2000)</f>
        <v>352.8</v>
      </c>
      <c r="M25" s="92">
        <f>($G25*(365-G20))*($I25/2000)</f>
        <v>352.8</v>
      </c>
    </row>
    <row r="26" spans="1:13" ht="13" x14ac:dyDescent="0.3">
      <c r="A26" s="1"/>
      <c r="B26" s="1"/>
      <c r="C26" s="1" t="s">
        <v>95</v>
      </c>
      <c r="D26" s="1"/>
      <c r="E26" s="1"/>
      <c r="F26" s="50"/>
      <c r="G26" s="26">
        <v>0</v>
      </c>
      <c r="H26" s="1" t="s">
        <v>96</v>
      </c>
      <c r="I26" s="25">
        <v>65</v>
      </c>
      <c r="J26" s="2" t="s">
        <v>5</v>
      </c>
      <c r="K26" s="53"/>
      <c r="L26" s="32">
        <f>($G26*(365-G20))*($I26/2000)</f>
        <v>0</v>
      </c>
      <c r="M26" s="187">
        <f>($G26*(365-G20))*($I26/2000)</f>
        <v>0</v>
      </c>
    </row>
    <row r="27" spans="1:13" ht="13" x14ac:dyDescent="0.3">
      <c r="A27" s="1"/>
      <c r="B27" s="1"/>
      <c r="C27" s="1" t="s">
        <v>115</v>
      </c>
      <c r="D27" s="1"/>
      <c r="E27" s="1"/>
      <c r="F27" s="50"/>
      <c r="G27" s="26">
        <v>90</v>
      </c>
      <c r="H27" s="1" t="s">
        <v>112</v>
      </c>
      <c r="I27" s="52"/>
      <c r="J27" s="177"/>
      <c r="K27" s="53"/>
      <c r="L27" s="53"/>
      <c r="M27" s="58"/>
    </row>
    <row r="28" spans="1:13" ht="15" x14ac:dyDescent="0.3">
      <c r="A28" s="1"/>
      <c r="B28" s="1"/>
      <c r="C28" s="1" t="s">
        <v>116</v>
      </c>
      <c r="D28" s="1"/>
      <c r="G28" s="26">
        <v>2.5</v>
      </c>
      <c r="H28" s="1" t="s">
        <v>38</v>
      </c>
      <c r="I28" s="25">
        <v>290</v>
      </c>
      <c r="J28" s="2" t="s">
        <v>5</v>
      </c>
      <c r="K28" s="53"/>
      <c r="L28" s="53">
        <f>($G28*$G$27)*($I28/2000)</f>
        <v>32.625</v>
      </c>
      <c r="M28" s="92">
        <f>(($G28*$G$27)*$I28)/2000</f>
        <v>32.625</v>
      </c>
    </row>
    <row r="29" spans="1:13" ht="13" x14ac:dyDescent="0.3">
      <c r="A29" s="1"/>
      <c r="B29" s="1"/>
      <c r="C29" s="1" t="s">
        <v>47</v>
      </c>
      <c r="D29" s="1"/>
      <c r="G29" s="26">
        <v>0.1</v>
      </c>
      <c r="H29" s="1" t="s">
        <v>38</v>
      </c>
      <c r="I29" s="25">
        <v>0.12</v>
      </c>
      <c r="J29" s="2" t="s">
        <v>27</v>
      </c>
      <c r="K29" s="34"/>
      <c r="L29" s="53">
        <f>($G29*365)*$I29</f>
        <v>4.38</v>
      </c>
      <c r="M29" s="92">
        <f>($G29*365)*$I29</f>
        <v>4.38</v>
      </c>
    </row>
    <row r="30" spans="1:13" ht="13" x14ac:dyDescent="0.3">
      <c r="A30" s="1"/>
      <c r="B30" s="1"/>
      <c r="C30" s="1" t="s">
        <v>135</v>
      </c>
      <c r="D30" s="1"/>
      <c r="G30" s="26">
        <v>0</v>
      </c>
      <c r="H30" s="1" t="s">
        <v>38</v>
      </c>
      <c r="I30" s="25">
        <v>0</v>
      </c>
      <c r="J30" s="2" t="s">
        <v>5</v>
      </c>
      <c r="K30" s="34"/>
      <c r="L30" s="193">
        <f>G30*(I30/2000)</f>
        <v>0</v>
      </c>
      <c r="M30" s="194">
        <f>G30*(I30/2000)</f>
        <v>0</v>
      </c>
    </row>
    <row r="31" spans="1:13" ht="13" x14ac:dyDescent="0.3">
      <c r="B31" s="13" t="s">
        <v>48</v>
      </c>
      <c r="C31" s="13"/>
      <c r="D31" s="13"/>
      <c r="G31" s="93"/>
      <c r="H31" s="32"/>
      <c r="I31" s="93"/>
      <c r="J31" s="2"/>
      <c r="K31" s="34"/>
      <c r="L31" s="53">
        <f>SUM(L19:L29)</f>
        <v>477.30500000000001</v>
      </c>
      <c r="M31" s="92">
        <f>SUM(M19:M29)</f>
        <v>477.30500000000001</v>
      </c>
    </row>
    <row r="32" spans="1:13" ht="3" customHeight="1" x14ac:dyDescent="0.3">
      <c r="B32" s="13"/>
      <c r="C32" s="13"/>
      <c r="D32" s="13"/>
      <c r="G32" s="93"/>
      <c r="H32" s="32"/>
      <c r="I32" s="93"/>
      <c r="J32" s="2"/>
      <c r="K32" s="34"/>
      <c r="L32" s="53"/>
      <c r="M32" s="58"/>
    </row>
    <row r="33" spans="1:13" ht="15" x14ac:dyDescent="0.3">
      <c r="A33" s="1"/>
      <c r="B33" s="50" t="s">
        <v>75</v>
      </c>
      <c r="D33" s="50"/>
      <c r="E33" s="50"/>
      <c r="F33" s="50"/>
      <c r="G33" s="50"/>
      <c r="H33" s="51"/>
      <c r="I33" s="55"/>
      <c r="J33" s="50"/>
      <c r="K33" s="53"/>
      <c r="L33" s="76">
        <v>30</v>
      </c>
      <c r="M33" s="22">
        <v>30</v>
      </c>
    </row>
    <row r="34" spans="1:13" ht="15" x14ac:dyDescent="0.3">
      <c r="A34" s="1"/>
      <c r="B34" s="50" t="s">
        <v>76</v>
      </c>
      <c r="D34" s="50"/>
      <c r="E34" s="50"/>
      <c r="F34" s="50"/>
      <c r="G34" s="50"/>
      <c r="H34" s="51"/>
      <c r="I34" s="55"/>
      <c r="J34" s="50"/>
      <c r="K34" s="53"/>
      <c r="L34" s="76">
        <v>20</v>
      </c>
      <c r="M34" s="22">
        <v>20</v>
      </c>
    </row>
    <row r="35" spans="1:13" ht="13" x14ac:dyDescent="0.3">
      <c r="A35" s="1"/>
      <c r="B35" s="50" t="s">
        <v>136</v>
      </c>
      <c r="D35" s="50"/>
      <c r="E35" s="50"/>
      <c r="F35" s="50"/>
      <c r="G35" s="192">
        <v>0</v>
      </c>
      <c r="H35" s="50" t="s">
        <v>148</v>
      </c>
      <c r="I35" s="191">
        <v>0</v>
      </c>
      <c r="J35" s="50" t="s">
        <v>5</v>
      </c>
      <c r="K35" s="53"/>
      <c r="L35" s="76">
        <f>I35*G35</f>
        <v>0</v>
      </c>
      <c r="M35" s="22">
        <f>I35*G35</f>
        <v>0</v>
      </c>
    </row>
    <row r="36" spans="1:13" ht="15" x14ac:dyDescent="0.3">
      <c r="A36" s="1"/>
      <c r="B36" s="50" t="s">
        <v>77</v>
      </c>
      <c r="D36" s="50"/>
      <c r="E36" s="50"/>
      <c r="F36" s="50"/>
      <c r="G36" s="50"/>
      <c r="H36" s="51"/>
      <c r="I36" s="52"/>
      <c r="J36" s="50"/>
      <c r="K36" s="53"/>
      <c r="L36" s="76">
        <v>13</v>
      </c>
      <c r="M36" s="22">
        <v>13</v>
      </c>
    </row>
    <row r="37" spans="1:13" ht="15" x14ac:dyDescent="0.3">
      <c r="A37" s="1"/>
      <c r="B37" s="50" t="s">
        <v>78</v>
      </c>
      <c r="D37" s="50"/>
      <c r="E37" s="50"/>
      <c r="F37" s="94">
        <f>(SUM(L31,L33,L36)/2)</f>
        <v>260.15250000000003</v>
      </c>
      <c r="G37" s="26">
        <v>12</v>
      </c>
      <c r="H37" s="50" t="s">
        <v>28</v>
      </c>
      <c r="I37" s="70">
        <v>0.05</v>
      </c>
      <c r="J37" s="50"/>
      <c r="K37" s="66"/>
      <c r="L37" s="89">
        <f>$F$37*$I37*($G37/12)</f>
        <v>13.007625000000003</v>
      </c>
      <c r="M37" s="67">
        <f>$F$37*$I37*($G37/12)</f>
        <v>13.007625000000003</v>
      </c>
    </row>
    <row r="38" spans="1:13" ht="4.5" customHeight="1" x14ac:dyDescent="0.3">
      <c r="A38" s="1"/>
      <c r="B38" s="1"/>
      <c r="C38" s="50"/>
      <c r="D38" s="50"/>
      <c r="E38" s="54"/>
      <c r="F38" s="54"/>
      <c r="G38" s="56"/>
      <c r="H38" s="57"/>
      <c r="I38" s="52"/>
      <c r="J38" s="50"/>
      <c r="K38" s="53"/>
      <c r="L38" s="53"/>
      <c r="M38" s="58"/>
    </row>
    <row r="39" spans="1:13" ht="13" x14ac:dyDescent="0.3">
      <c r="A39" s="13" t="s">
        <v>6</v>
      </c>
      <c r="B39" s="1"/>
      <c r="C39" s="50"/>
      <c r="D39" s="50"/>
      <c r="E39" s="54"/>
      <c r="F39" s="54"/>
      <c r="G39" s="54"/>
      <c r="H39" s="57"/>
      <c r="I39" s="68"/>
      <c r="J39" s="50"/>
      <c r="K39" s="58"/>
      <c r="L39" s="53">
        <f>SUM(L31:L37)</f>
        <v>553.31262500000003</v>
      </c>
      <c r="M39" s="62">
        <f>SUM(M31:M37)</f>
        <v>553.31262500000003</v>
      </c>
    </row>
    <row r="40" spans="1:13" ht="13" x14ac:dyDescent="0.3">
      <c r="A40" s="1"/>
      <c r="B40" s="1"/>
      <c r="C40" s="50"/>
      <c r="D40" s="50"/>
      <c r="E40" s="54"/>
      <c r="F40" s="54"/>
      <c r="H40" s="54"/>
      <c r="I40" s="69"/>
      <c r="J40" s="50"/>
    </row>
    <row r="41" spans="1:13" ht="13" x14ac:dyDescent="0.3">
      <c r="A41" s="13" t="s">
        <v>7</v>
      </c>
      <c r="B41" s="1"/>
      <c r="C41" s="50"/>
      <c r="D41" s="50"/>
      <c r="E41" s="50"/>
      <c r="F41" s="50"/>
      <c r="G41" s="51"/>
      <c r="H41" s="59"/>
      <c r="I41" s="52"/>
      <c r="J41" s="50"/>
      <c r="K41" s="53"/>
      <c r="L41" s="53"/>
      <c r="M41" s="58"/>
    </row>
    <row r="42" spans="1:13" ht="15" x14ac:dyDescent="0.3">
      <c r="A42" s="1"/>
      <c r="B42" s="1" t="s">
        <v>79</v>
      </c>
      <c r="C42" s="50"/>
      <c r="D42" s="50"/>
      <c r="E42" s="50"/>
      <c r="F42" s="50"/>
      <c r="G42" s="26">
        <v>8</v>
      </c>
      <c r="H42" s="59" t="s">
        <v>29</v>
      </c>
      <c r="I42" s="25">
        <v>15</v>
      </c>
      <c r="J42" s="50" t="s">
        <v>30</v>
      </c>
      <c r="K42" s="53"/>
      <c r="L42" s="53">
        <f>$I42*$G42</f>
        <v>120</v>
      </c>
      <c r="M42" s="62">
        <f>$I42*$G42</f>
        <v>120</v>
      </c>
    </row>
    <row r="43" spans="1:13" ht="15" x14ac:dyDescent="0.3">
      <c r="A43" s="1"/>
      <c r="B43" s="1" t="s">
        <v>80</v>
      </c>
      <c r="C43" s="50"/>
      <c r="D43" s="50"/>
      <c r="E43" s="50"/>
      <c r="F43" s="50"/>
      <c r="G43" s="73">
        <v>0.2</v>
      </c>
      <c r="H43" s="50"/>
      <c r="I43" s="25">
        <v>1500</v>
      </c>
      <c r="J43" s="50" t="s">
        <v>31</v>
      </c>
      <c r="K43" s="53"/>
      <c r="L43" s="53">
        <f>$I43*$G43</f>
        <v>300</v>
      </c>
      <c r="M43" s="62">
        <f>$I43*$G43</f>
        <v>300</v>
      </c>
    </row>
    <row r="44" spans="1:13" ht="13" x14ac:dyDescent="0.3">
      <c r="A44" s="1"/>
      <c r="B44" s="1"/>
      <c r="C44" s="50"/>
      <c r="D44" s="50"/>
      <c r="E44" s="50"/>
      <c r="G44" s="72" t="s">
        <v>32</v>
      </c>
      <c r="H44" s="71" t="s">
        <v>33</v>
      </c>
      <c r="I44" s="72" t="s">
        <v>34</v>
      </c>
      <c r="J44" s="50"/>
      <c r="K44" s="53"/>
      <c r="L44" s="53"/>
      <c r="M44" s="58"/>
    </row>
    <row r="45" spans="1:13" ht="15" x14ac:dyDescent="0.3">
      <c r="A45" s="1"/>
      <c r="B45" s="1" t="s">
        <v>81</v>
      </c>
      <c r="C45" s="50"/>
      <c r="D45" s="50"/>
      <c r="E45" s="50"/>
      <c r="G45" s="73">
        <v>0.33</v>
      </c>
      <c r="H45" s="26">
        <v>2800</v>
      </c>
      <c r="I45" s="26">
        <v>25</v>
      </c>
      <c r="J45" s="50"/>
      <c r="K45" s="53"/>
      <c r="L45" s="53">
        <f>($H45*$G45)/$I$45</f>
        <v>36.96</v>
      </c>
      <c r="M45" s="62">
        <f>($H45*$G45)/$I$45</f>
        <v>36.96</v>
      </c>
    </row>
    <row r="46" spans="1:13" ht="15" x14ac:dyDescent="0.3">
      <c r="A46" s="1"/>
      <c r="B46" s="1" t="s">
        <v>82</v>
      </c>
      <c r="C46" s="50"/>
      <c r="D46" s="50"/>
      <c r="E46" s="50"/>
      <c r="F46" s="50"/>
      <c r="G46" s="26">
        <f>((($H$45+$E$14)/2)/$K$14)+(($I$43+$E$13)/2)</f>
        <v>1341</v>
      </c>
      <c r="H46" s="50"/>
      <c r="I46" s="73">
        <v>0.05</v>
      </c>
      <c r="J46" s="50"/>
      <c r="K46" s="53"/>
      <c r="L46" s="53">
        <f>$I46*$G46</f>
        <v>67.05</v>
      </c>
      <c r="M46" s="62">
        <f>$I46*$G46</f>
        <v>67.05</v>
      </c>
    </row>
    <row r="47" spans="1:13" ht="15" x14ac:dyDescent="0.3">
      <c r="A47" s="1"/>
      <c r="B47" s="1" t="s">
        <v>121</v>
      </c>
      <c r="C47" s="50"/>
      <c r="D47" s="50"/>
      <c r="E47" s="50"/>
      <c r="F47" s="50"/>
      <c r="G47" s="51"/>
      <c r="H47" s="50"/>
      <c r="I47" s="82"/>
      <c r="J47" s="50"/>
      <c r="K47" s="53"/>
      <c r="L47" s="53">
        <f>'Buildings and Machinery'!L25</f>
        <v>29.942812499999999</v>
      </c>
      <c r="M47" s="62">
        <f>'Buildings and Machinery'!L25</f>
        <v>29.942812499999999</v>
      </c>
    </row>
    <row r="48" spans="1:13" ht="15" x14ac:dyDescent="0.3">
      <c r="A48" s="1"/>
      <c r="B48" s="1" t="s">
        <v>122</v>
      </c>
      <c r="C48" s="50"/>
      <c r="D48" s="50"/>
      <c r="E48" s="50"/>
      <c r="F48" s="50"/>
      <c r="G48" s="50"/>
      <c r="H48" s="50"/>
      <c r="I48" s="50"/>
      <c r="J48" s="50"/>
      <c r="K48" s="53"/>
      <c r="L48" s="53">
        <f>'Buildings and Machinery'!L11</f>
        <v>24.691499999999998</v>
      </c>
      <c r="M48" s="185">
        <f>'Buildings and Machinery'!L11</f>
        <v>24.691499999999998</v>
      </c>
    </row>
    <row r="49" spans="1:13" ht="15" x14ac:dyDescent="0.3">
      <c r="A49" s="1"/>
      <c r="B49" s="1" t="s">
        <v>83</v>
      </c>
      <c r="C49" s="50"/>
      <c r="D49" s="50"/>
      <c r="E49" s="50"/>
      <c r="F49" s="50"/>
      <c r="G49" s="50"/>
      <c r="H49" s="73">
        <v>0.05</v>
      </c>
      <c r="I49" s="50" t="s">
        <v>94</v>
      </c>
      <c r="J49" s="50"/>
      <c r="K49" s="53"/>
      <c r="L49" s="53">
        <f>$H49*L16</f>
        <v>42.65625</v>
      </c>
      <c r="M49" s="62">
        <f>$H49*$M16</f>
        <v>42.65625</v>
      </c>
    </row>
    <row r="50" spans="1:13" ht="6.75" customHeight="1" x14ac:dyDescent="0.3">
      <c r="A50" s="1"/>
      <c r="B50" s="1"/>
      <c r="C50" s="1"/>
      <c r="D50" s="1"/>
      <c r="E50" s="1"/>
      <c r="F50" s="15"/>
      <c r="G50" s="1"/>
      <c r="H50" s="1"/>
      <c r="I50" s="16"/>
      <c r="J50" s="1"/>
      <c r="K50" s="64"/>
      <c r="L50" s="64"/>
      <c r="M50" s="74"/>
    </row>
    <row r="51" spans="1:13" ht="12.75" customHeight="1" x14ac:dyDescent="0.3">
      <c r="A51" s="13" t="s">
        <v>8</v>
      </c>
      <c r="B51" s="1"/>
      <c r="C51" s="1"/>
      <c r="D51" s="1"/>
      <c r="E51" s="1"/>
      <c r="F51" s="15"/>
      <c r="G51" s="1"/>
      <c r="H51" s="1"/>
      <c r="I51" s="16"/>
      <c r="J51" s="1"/>
      <c r="K51" s="76"/>
      <c r="L51" s="76">
        <f>SUM(L42:L49)</f>
        <v>621.30056249999996</v>
      </c>
      <c r="M51" s="63">
        <f>SUM(M42:M49)</f>
        <v>621.30056249999996</v>
      </c>
    </row>
    <row r="52" spans="1:13" ht="12.75" customHeight="1" x14ac:dyDescent="0.3">
      <c r="A52" s="1"/>
      <c r="B52" s="1"/>
      <c r="C52" s="1"/>
      <c r="D52" s="1"/>
      <c r="E52" s="1"/>
      <c r="F52" s="15"/>
      <c r="G52" s="1"/>
      <c r="H52" s="1"/>
      <c r="I52" s="68"/>
      <c r="J52" s="1"/>
      <c r="K52" s="12"/>
      <c r="L52" s="12"/>
      <c r="M52" s="21"/>
    </row>
    <row r="53" spans="1:13" ht="13" x14ac:dyDescent="0.3">
      <c r="A53" s="13" t="s">
        <v>9</v>
      </c>
      <c r="B53" s="1"/>
      <c r="C53" s="1"/>
      <c r="D53" s="1"/>
      <c r="E53" s="1"/>
      <c r="F53" s="1"/>
      <c r="G53" s="1"/>
      <c r="H53" s="1"/>
      <c r="I53" s="68"/>
      <c r="J53" s="1"/>
      <c r="K53" s="76"/>
      <c r="L53" s="76">
        <f>L51+L39</f>
        <v>1174.6131875000001</v>
      </c>
      <c r="M53" s="63">
        <f>M51+M39</f>
        <v>1174.6131875000001</v>
      </c>
    </row>
    <row r="54" spans="1:13" ht="13" x14ac:dyDescent="0.3">
      <c r="A54" s="1"/>
      <c r="B54" s="1"/>
      <c r="C54" s="1"/>
      <c r="D54" s="1"/>
      <c r="E54" s="1"/>
      <c r="F54" s="1"/>
      <c r="G54" s="1"/>
      <c r="H54" s="1"/>
      <c r="I54" s="69"/>
      <c r="J54" s="1"/>
      <c r="K54" s="37"/>
      <c r="L54" s="37"/>
      <c r="M54" s="21"/>
    </row>
    <row r="55" spans="1:13" ht="13" x14ac:dyDescent="0.3">
      <c r="A55" s="1"/>
      <c r="B55" s="1"/>
      <c r="C55" s="1"/>
      <c r="D55" s="1"/>
      <c r="E55" s="1"/>
      <c r="F55" s="1"/>
      <c r="G55" s="1"/>
      <c r="H55" s="1"/>
      <c r="J55" s="1"/>
      <c r="K55" s="37"/>
      <c r="L55" s="37"/>
      <c r="M55" s="21"/>
    </row>
    <row r="56" spans="1:13" ht="13" x14ac:dyDescent="0.3">
      <c r="A56" s="1"/>
      <c r="B56" s="1"/>
      <c r="C56" s="1"/>
      <c r="D56" s="1"/>
      <c r="E56" s="1"/>
      <c r="F56" s="1"/>
      <c r="G56" s="1"/>
      <c r="H56" s="1"/>
      <c r="I56" s="69"/>
      <c r="J56" s="1"/>
      <c r="K56" s="37"/>
      <c r="L56" s="37"/>
      <c r="M56" s="21"/>
    </row>
    <row r="57" spans="1:13" ht="13" x14ac:dyDescent="0.3">
      <c r="A57" s="13" t="s">
        <v>10</v>
      </c>
      <c r="B57" s="1"/>
      <c r="C57" s="1"/>
      <c r="D57" s="1"/>
      <c r="E57" s="1"/>
      <c r="F57" s="1"/>
      <c r="G57" s="1"/>
      <c r="H57" s="1"/>
      <c r="I57" s="1"/>
      <c r="J57" s="1"/>
      <c r="K57" s="37"/>
      <c r="L57" s="179">
        <f>L16-L39</f>
        <v>299.81237499999997</v>
      </c>
      <c r="M57" s="180">
        <f>M16-M39</f>
        <v>299.81237499999997</v>
      </c>
    </row>
    <row r="58" spans="1:13" ht="13" x14ac:dyDescent="0.3">
      <c r="A58" s="13" t="s">
        <v>11</v>
      </c>
      <c r="B58" s="1"/>
      <c r="C58" s="1"/>
      <c r="D58" s="1"/>
      <c r="E58" s="1"/>
      <c r="F58" s="1"/>
      <c r="G58" s="1"/>
      <c r="H58" s="1"/>
      <c r="I58" s="1"/>
      <c r="J58" s="1"/>
      <c r="K58" s="34"/>
      <c r="L58" s="179">
        <f>L16-L53</f>
        <v>-321.48818750000009</v>
      </c>
      <c r="M58" s="180">
        <f>M16-M53</f>
        <v>-321.48818750000009</v>
      </c>
    </row>
    <row r="59" spans="1:13" ht="15" x14ac:dyDescent="0.3">
      <c r="A59" s="13" t="s">
        <v>90</v>
      </c>
      <c r="B59" s="1"/>
      <c r="C59" s="1"/>
      <c r="D59" s="1"/>
      <c r="E59" s="1"/>
      <c r="F59" s="1"/>
      <c r="G59" s="1"/>
      <c r="H59" s="1"/>
      <c r="I59" s="1"/>
      <c r="J59" s="1"/>
      <c r="K59" s="34"/>
      <c r="L59" s="179">
        <f>L58+L49+L42</f>
        <v>-158.83193750000009</v>
      </c>
      <c r="M59" s="180">
        <f>M58+M49+M42</f>
        <v>-158.83193750000009</v>
      </c>
    </row>
    <row r="60" spans="1:13" ht="4.5" customHeight="1" x14ac:dyDescent="0.25">
      <c r="A60" s="1"/>
      <c r="B60" s="10"/>
      <c r="C60" s="10"/>
      <c r="D60" s="10"/>
      <c r="E60" s="10"/>
      <c r="F60" s="10"/>
      <c r="G60" s="10"/>
      <c r="H60" s="10"/>
      <c r="I60" s="10"/>
      <c r="J60" s="10"/>
      <c r="K60" s="44"/>
      <c r="L60" s="44"/>
      <c r="M60" s="10"/>
    </row>
    <row r="61" spans="1:13" ht="9" customHeight="1" x14ac:dyDescent="0.25">
      <c r="A61" s="1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</row>
    <row r="62" spans="1:13" ht="12.75" customHeight="1" x14ac:dyDescent="0.25">
      <c r="A62" s="28" t="s">
        <v>17</v>
      </c>
      <c r="B62" s="7"/>
      <c r="C62" s="7"/>
      <c r="D62" s="43"/>
      <c r="E62" s="7"/>
      <c r="F62" s="7"/>
      <c r="G62" s="7"/>
      <c r="H62" s="7"/>
      <c r="I62" s="7"/>
      <c r="J62" s="7"/>
      <c r="K62" s="8"/>
      <c r="L62" s="8"/>
      <c r="M62" s="7"/>
    </row>
    <row r="63" spans="1:13" ht="12" customHeight="1" x14ac:dyDescent="0.25">
      <c r="B63" s="28" t="s">
        <v>20</v>
      </c>
      <c r="C63" s="7"/>
      <c r="D63" s="7"/>
      <c r="E63" s="7"/>
      <c r="F63" s="7"/>
      <c r="G63" s="7"/>
      <c r="H63" s="7"/>
      <c r="I63" s="7"/>
      <c r="J63" s="7"/>
      <c r="K63" s="8"/>
      <c r="L63" s="8"/>
      <c r="M63" s="7"/>
    </row>
    <row r="64" spans="1:13" ht="12" customHeight="1" x14ac:dyDescent="0.25">
      <c r="A64" s="28" t="s">
        <v>18</v>
      </c>
      <c r="C64" s="7"/>
      <c r="D64" s="45"/>
      <c r="E64" s="7"/>
      <c r="F64" s="7"/>
      <c r="G64" s="7"/>
      <c r="H64" s="7"/>
      <c r="I64" s="7"/>
      <c r="J64" s="7"/>
      <c r="K64" s="8"/>
      <c r="L64" s="8"/>
      <c r="M64" s="7"/>
    </row>
    <row r="65" spans="1:13" ht="12" customHeight="1" x14ac:dyDescent="0.25">
      <c r="A65" s="28"/>
      <c r="B65" s="28" t="s">
        <v>21</v>
      </c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</row>
    <row r="66" spans="1:13" ht="11.25" customHeight="1" x14ac:dyDescent="0.25">
      <c r="A66" s="28" t="s">
        <v>19</v>
      </c>
      <c r="B66" s="7"/>
      <c r="C66" s="7"/>
      <c r="D66" s="46"/>
      <c r="E66" s="7"/>
      <c r="F66" s="7"/>
      <c r="G66" s="7"/>
      <c r="H66" s="7"/>
      <c r="I66" s="7"/>
      <c r="J66" s="7"/>
      <c r="K66" s="8"/>
      <c r="L66" s="8"/>
      <c r="M66" s="7"/>
    </row>
    <row r="67" spans="1:13" ht="11.25" customHeight="1" x14ac:dyDescent="0.25">
      <c r="B67" s="7"/>
      <c r="C67" s="7"/>
      <c r="D67" s="47"/>
      <c r="E67" s="7"/>
      <c r="F67" s="7"/>
      <c r="G67" s="7"/>
      <c r="H67" s="7"/>
      <c r="I67" s="7"/>
      <c r="J67" s="7"/>
      <c r="K67" s="8"/>
      <c r="L67" s="8"/>
      <c r="M67" s="7"/>
    </row>
    <row r="68" spans="1:13" ht="11.25" customHeight="1" x14ac:dyDescent="0.25">
      <c r="A68" s="31"/>
      <c r="B68" s="7"/>
      <c r="C68" s="7"/>
      <c r="D68" s="47"/>
      <c r="E68" s="7"/>
      <c r="F68" s="7"/>
      <c r="G68" s="7"/>
      <c r="H68" s="7"/>
      <c r="I68" s="7"/>
      <c r="J68" s="7"/>
      <c r="K68" s="8"/>
      <c r="L68" s="8"/>
      <c r="M68" s="7"/>
    </row>
    <row r="69" spans="1:13" ht="14.5" x14ac:dyDescent="0.25">
      <c r="A69" s="135">
        <v>1</v>
      </c>
      <c r="B69" s="19" t="s">
        <v>35</v>
      </c>
      <c r="C69" s="1"/>
      <c r="D69" s="1"/>
      <c r="E69" s="1"/>
      <c r="F69" s="1"/>
      <c r="G69" s="1"/>
      <c r="H69" s="1"/>
      <c r="I69" s="1"/>
      <c r="J69" s="1"/>
      <c r="K69" s="2"/>
      <c r="L69" s="2"/>
      <c r="M69" s="1"/>
    </row>
    <row r="70" spans="1:13" ht="14.5" x14ac:dyDescent="0.25">
      <c r="A70" s="135"/>
      <c r="B70" s="19"/>
      <c r="C70" s="19" t="s">
        <v>36</v>
      </c>
      <c r="D70" s="1"/>
      <c r="E70" s="1"/>
      <c r="F70" s="1"/>
      <c r="G70" s="1"/>
      <c r="H70" s="1"/>
      <c r="I70" s="1"/>
      <c r="J70" s="1"/>
      <c r="K70" s="2"/>
      <c r="L70" s="2"/>
      <c r="M70" s="1"/>
    </row>
    <row r="71" spans="1:13" ht="14.5" x14ac:dyDescent="0.25">
      <c r="A71" s="135"/>
      <c r="B71" s="166" t="s">
        <v>137</v>
      </c>
      <c r="C71" s="19"/>
      <c r="D71" s="1"/>
      <c r="E71" s="1"/>
      <c r="F71" s="1"/>
      <c r="G71" s="1"/>
      <c r="H71" s="1"/>
      <c r="I71" s="1"/>
      <c r="J71" s="1"/>
      <c r="K71" s="2"/>
      <c r="L71" s="2"/>
      <c r="M71" s="1"/>
    </row>
    <row r="72" spans="1:13" ht="14.5" x14ac:dyDescent="0.25">
      <c r="A72" s="135"/>
      <c r="B72" s="166" t="s">
        <v>138</v>
      </c>
      <c r="C72" s="19"/>
      <c r="D72" s="1"/>
      <c r="E72" s="1"/>
      <c r="F72" s="1"/>
      <c r="G72" s="1"/>
      <c r="H72" s="1"/>
      <c r="I72" s="1"/>
      <c r="J72" s="1"/>
      <c r="K72" s="2"/>
      <c r="L72" s="2"/>
      <c r="M72" s="1"/>
    </row>
    <row r="73" spans="1:13" ht="14.5" x14ac:dyDescent="0.25">
      <c r="A73" s="135">
        <v>2</v>
      </c>
      <c r="C73" s="166" t="s">
        <v>139</v>
      </c>
      <c r="D73" s="1"/>
      <c r="E73" s="1"/>
      <c r="F73" s="1"/>
      <c r="G73" s="1"/>
      <c r="H73" s="1"/>
      <c r="I73" s="1"/>
      <c r="J73" s="1"/>
      <c r="K73" s="2"/>
      <c r="L73" s="2"/>
      <c r="M73" s="1"/>
    </row>
    <row r="74" spans="1:13" x14ac:dyDescent="0.25">
      <c r="C74" s="166" t="s">
        <v>114</v>
      </c>
      <c r="D74" s="1"/>
      <c r="E74" s="1"/>
      <c r="F74" s="1"/>
      <c r="G74" s="1"/>
      <c r="H74" s="1"/>
      <c r="I74" s="1"/>
      <c r="J74" s="1"/>
      <c r="K74" s="2"/>
      <c r="L74" s="2"/>
      <c r="M74" s="1"/>
    </row>
    <row r="75" spans="1:13" ht="14.5" x14ac:dyDescent="0.25">
      <c r="A75" s="178" t="s">
        <v>113</v>
      </c>
      <c r="B75" s="166" t="s">
        <v>140</v>
      </c>
      <c r="C75" s="166"/>
      <c r="D75" s="1"/>
      <c r="E75" s="1"/>
      <c r="F75" s="1"/>
      <c r="G75" s="1"/>
      <c r="H75" s="1"/>
      <c r="I75" s="1"/>
      <c r="J75" s="1"/>
      <c r="K75" s="2"/>
      <c r="L75" s="2"/>
      <c r="M75" s="1"/>
    </row>
    <row r="76" spans="1:13" ht="14.5" x14ac:dyDescent="0.25">
      <c r="A76" s="135">
        <v>3</v>
      </c>
      <c r="B76" s="166" t="s">
        <v>91</v>
      </c>
      <c r="D76" s="28"/>
      <c r="E76" s="28"/>
      <c r="F76" s="28"/>
      <c r="G76" s="28"/>
      <c r="H76" s="28"/>
      <c r="I76" s="28"/>
      <c r="J76" s="28"/>
      <c r="K76" s="29"/>
      <c r="L76" s="29"/>
      <c r="M76" s="1"/>
    </row>
    <row r="77" spans="1:13" ht="14.5" x14ac:dyDescent="0.25">
      <c r="A77" s="135">
        <v>4</v>
      </c>
      <c r="B77" s="166" t="s">
        <v>92</v>
      </c>
      <c r="C77" s="35"/>
      <c r="D77" s="28"/>
      <c r="E77" s="28"/>
      <c r="F77" s="28"/>
      <c r="G77" s="28"/>
      <c r="H77" s="28"/>
      <c r="I77" s="28"/>
      <c r="J77" s="28"/>
      <c r="K77" s="29"/>
      <c r="L77" s="29"/>
      <c r="M77" s="1"/>
    </row>
    <row r="78" spans="1:13" ht="14.5" x14ac:dyDescent="0.25">
      <c r="A78" s="135">
        <v>5</v>
      </c>
      <c r="B78" s="166" t="s">
        <v>93</v>
      </c>
      <c r="C78" s="35"/>
      <c r="D78" s="28"/>
      <c r="E78" s="130"/>
      <c r="F78" s="131"/>
      <c r="G78" s="132"/>
      <c r="H78" s="130"/>
      <c r="I78" s="131"/>
      <c r="J78" s="131"/>
      <c r="K78" s="133"/>
      <c r="L78" s="134"/>
      <c r="M78" s="1"/>
    </row>
    <row r="79" spans="1:13" ht="14.5" x14ac:dyDescent="0.25">
      <c r="A79" s="135">
        <v>6</v>
      </c>
      <c r="B79" s="166" t="s">
        <v>141</v>
      </c>
      <c r="C79" s="35"/>
      <c r="D79" s="1"/>
      <c r="E79" s="1"/>
      <c r="F79" s="1"/>
      <c r="G79" s="1"/>
      <c r="H79" s="1"/>
      <c r="I79" s="1"/>
      <c r="J79" s="1"/>
      <c r="K79" s="2"/>
      <c r="L79" s="2"/>
      <c r="M79" s="1"/>
    </row>
    <row r="80" spans="1:13" ht="14.5" x14ac:dyDescent="0.25">
      <c r="A80" s="135">
        <v>7</v>
      </c>
      <c r="B80" s="166" t="s">
        <v>104</v>
      </c>
      <c r="C80" s="47"/>
      <c r="D80" s="1"/>
      <c r="E80" s="1"/>
      <c r="F80" s="1"/>
      <c r="G80" s="1"/>
      <c r="H80" s="1"/>
      <c r="I80" s="1"/>
      <c r="J80" s="1"/>
      <c r="K80" s="2"/>
      <c r="L80" s="2"/>
      <c r="M80" s="1"/>
    </row>
    <row r="81" spans="1:13" ht="14.5" x14ac:dyDescent="0.25">
      <c r="A81" s="135">
        <v>8</v>
      </c>
      <c r="B81" s="166" t="s">
        <v>105</v>
      </c>
      <c r="C81" s="114"/>
      <c r="D81" s="1"/>
      <c r="E81" s="1"/>
      <c r="F81" s="1"/>
      <c r="G81" s="1"/>
      <c r="H81" s="1"/>
      <c r="I81" s="1"/>
      <c r="J81" s="1"/>
      <c r="K81" s="2"/>
      <c r="L81" s="2"/>
      <c r="M81" s="1"/>
    </row>
    <row r="82" spans="1:13" ht="14.5" x14ac:dyDescent="0.25">
      <c r="A82" s="135">
        <v>9</v>
      </c>
      <c r="B82" s="114" t="s">
        <v>106</v>
      </c>
      <c r="C82" s="114"/>
      <c r="D82" s="1"/>
      <c r="E82" s="1"/>
      <c r="F82" s="1"/>
      <c r="G82" s="1"/>
      <c r="H82" s="1"/>
      <c r="I82" s="1"/>
      <c r="J82" s="1"/>
      <c r="K82" s="2"/>
      <c r="L82" s="2"/>
      <c r="M82" s="1"/>
    </row>
    <row r="83" spans="1:13" ht="14.5" x14ac:dyDescent="0.25">
      <c r="A83" s="135">
        <v>10</v>
      </c>
      <c r="B83" s="114" t="s">
        <v>107</v>
      </c>
      <c r="C83" s="114"/>
      <c r="D83" s="1"/>
      <c r="E83" s="1"/>
      <c r="F83" s="1"/>
      <c r="G83" s="1"/>
      <c r="H83" s="1"/>
      <c r="I83" s="1"/>
      <c r="J83" s="1"/>
      <c r="K83" s="2"/>
      <c r="L83" s="2"/>
      <c r="M83" s="1"/>
    </row>
    <row r="84" spans="1:13" ht="14.5" x14ac:dyDescent="0.25">
      <c r="A84" s="135" t="s">
        <v>123</v>
      </c>
      <c r="B84" s="166" t="s">
        <v>124</v>
      </c>
      <c r="D84" s="1"/>
      <c r="E84" s="1"/>
      <c r="F84" s="1"/>
      <c r="G84" s="1"/>
      <c r="H84" s="1"/>
      <c r="I84" s="1"/>
      <c r="J84" s="1"/>
      <c r="K84" s="2"/>
      <c r="L84" s="2"/>
      <c r="M84" s="27"/>
    </row>
    <row r="85" spans="1:13" ht="14.5" x14ac:dyDescent="0.25">
      <c r="A85" s="135" t="s">
        <v>125</v>
      </c>
      <c r="B85" s="166" t="s">
        <v>124</v>
      </c>
      <c r="D85" s="1"/>
      <c r="E85" s="1"/>
      <c r="F85" s="1"/>
      <c r="G85" s="1"/>
      <c r="H85" s="1"/>
      <c r="I85" s="1"/>
      <c r="J85" s="1"/>
      <c r="K85" s="2"/>
      <c r="L85" s="2"/>
      <c r="M85" s="27"/>
    </row>
    <row r="86" spans="1:13" ht="14.5" x14ac:dyDescent="0.25">
      <c r="A86" s="135">
        <v>12</v>
      </c>
      <c r="B86" s="166" t="s">
        <v>108</v>
      </c>
      <c r="D86" s="1"/>
      <c r="E86" s="1"/>
      <c r="F86" s="1"/>
      <c r="G86" s="1"/>
      <c r="H86" s="1"/>
      <c r="I86" s="1"/>
      <c r="J86" s="1"/>
      <c r="K86" s="2"/>
      <c r="L86" s="2"/>
      <c r="M86" s="29"/>
    </row>
    <row r="87" spans="1:13" ht="14.5" x14ac:dyDescent="0.25">
      <c r="A87" s="135">
        <v>13</v>
      </c>
      <c r="B87" s="166" t="s">
        <v>22</v>
      </c>
      <c r="C87" s="1"/>
      <c r="D87" s="1"/>
      <c r="E87" s="1"/>
      <c r="F87" s="1"/>
      <c r="G87" s="1"/>
      <c r="H87" s="1"/>
      <c r="I87" s="1"/>
      <c r="J87" s="1"/>
      <c r="K87" s="2"/>
      <c r="L87" s="2"/>
      <c r="M87" s="29"/>
    </row>
    <row r="88" spans="1:13" ht="14.5" x14ac:dyDescent="0.25">
      <c r="A88" s="135"/>
      <c r="B88" s="166"/>
      <c r="C88" s="166" t="s">
        <v>23</v>
      </c>
      <c r="D88" s="1"/>
      <c r="E88" s="1"/>
      <c r="F88" s="1"/>
      <c r="G88" s="1"/>
      <c r="H88" s="1"/>
      <c r="I88" s="1"/>
      <c r="J88" s="1"/>
      <c r="K88" s="2"/>
      <c r="L88" s="2"/>
      <c r="M88" s="29"/>
    </row>
    <row r="89" spans="1:13" ht="14.5" x14ac:dyDescent="0.25">
      <c r="A89" s="135"/>
      <c r="B89" s="19"/>
      <c r="C89" s="19"/>
      <c r="D89" s="1"/>
      <c r="E89" s="1"/>
      <c r="F89" s="1"/>
      <c r="G89" s="1"/>
      <c r="H89" s="1"/>
      <c r="I89" s="1"/>
      <c r="J89" s="1"/>
      <c r="K89" s="2"/>
      <c r="L89" s="2"/>
      <c r="M89" s="29"/>
    </row>
    <row r="90" spans="1:13" ht="14.5" x14ac:dyDescent="0.25">
      <c r="A90" s="135"/>
      <c r="B90" s="19"/>
      <c r="C90" s="19"/>
      <c r="D90" s="1"/>
      <c r="E90" s="1"/>
      <c r="F90" s="1"/>
      <c r="G90" s="1"/>
      <c r="H90" s="1"/>
      <c r="I90" s="1"/>
      <c r="J90" s="1"/>
      <c r="K90" s="2"/>
      <c r="L90" s="2"/>
      <c r="M90" s="29"/>
    </row>
    <row r="91" spans="1:13" ht="14.5" x14ac:dyDescent="0.25">
      <c r="A91" s="135"/>
      <c r="B91" s="19"/>
      <c r="C91" s="19"/>
      <c r="D91" s="128" t="s">
        <v>84</v>
      </c>
      <c r="E91" s="128" t="s">
        <v>85</v>
      </c>
      <c r="F91" s="128"/>
      <c r="G91" s="128"/>
      <c r="H91" s="128"/>
      <c r="I91" s="128"/>
      <c r="J91" s="128"/>
      <c r="K91" s="2"/>
      <c r="L91" s="2"/>
      <c r="M91" s="29"/>
    </row>
    <row r="92" spans="1:13" ht="14.5" x14ac:dyDescent="0.25">
      <c r="A92" s="135"/>
      <c r="B92" s="19"/>
      <c r="C92" s="19"/>
      <c r="E92" s="128" t="s">
        <v>86</v>
      </c>
      <c r="F92" s="128"/>
      <c r="G92" s="128"/>
      <c r="H92" s="128"/>
      <c r="I92" s="128"/>
      <c r="J92" s="128"/>
      <c r="K92" s="2"/>
      <c r="L92" s="2"/>
      <c r="M92" s="29"/>
    </row>
    <row r="93" spans="1:13" ht="14.5" x14ac:dyDescent="0.25">
      <c r="A93" s="135"/>
      <c r="B93" s="19"/>
      <c r="C93" s="19"/>
      <c r="E93" s="128" t="s">
        <v>145</v>
      </c>
      <c r="F93" s="128"/>
      <c r="G93" s="128"/>
      <c r="H93" s="128"/>
      <c r="I93" s="128"/>
      <c r="J93" s="128"/>
      <c r="K93" s="2"/>
      <c r="L93" s="2"/>
      <c r="M93" s="29"/>
    </row>
    <row r="94" spans="1:13" ht="14.5" x14ac:dyDescent="0.25">
      <c r="A94" s="135"/>
      <c r="B94" s="19"/>
      <c r="C94" s="1"/>
      <c r="E94" s="128" t="s">
        <v>87</v>
      </c>
      <c r="F94" s="128"/>
      <c r="G94" s="128"/>
      <c r="H94" s="128"/>
      <c r="I94" s="128"/>
      <c r="J94" s="128"/>
      <c r="K94" s="2"/>
      <c r="L94" s="2"/>
      <c r="M94" s="29"/>
    </row>
    <row r="95" spans="1:13" ht="14.5" x14ac:dyDescent="0.25">
      <c r="A95" s="135"/>
      <c r="B95" s="19"/>
      <c r="C95" s="1"/>
      <c r="D95" s="128"/>
      <c r="E95" s="128" t="s">
        <v>149</v>
      </c>
      <c r="F95" s="128"/>
      <c r="G95" s="128"/>
      <c r="H95" s="128"/>
      <c r="I95" s="128"/>
      <c r="J95" s="128"/>
      <c r="K95" s="2"/>
      <c r="L95" s="2"/>
      <c r="M95" s="29"/>
    </row>
    <row r="96" spans="1:13" ht="14.5" x14ac:dyDescent="0.25">
      <c r="A96" s="135"/>
      <c r="B96" s="19"/>
      <c r="C96" s="1"/>
      <c r="D96" s="91"/>
      <c r="E96" s="129" t="s">
        <v>88</v>
      </c>
      <c r="F96" s="91"/>
      <c r="G96" s="91"/>
      <c r="H96" s="91"/>
      <c r="I96" s="91"/>
      <c r="J96" s="91"/>
      <c r="K96" s="2"/>
      <c r="L96" s="2"/>
      <c r="M96" s="29"/>
    </row>
    <row r="97" spans="1:13" ht="14.5" x14ac:dyDescent="0.25">
      <c r="A97" s="135"/>
      <c r="B97" s="19"/>
      <c r="C97" s="1"/>
      <c r="D97" s="128"/>
      <c r="E97" s="128" t="s">
        <v>89</v>
      </c>
      <c r="F97" s="128"/>
      <c r="G97" s="128"/>
      <c r="H97" s="128"/>
      <c r="I97" s="128"/>
      <c r="J97" s="128"/>
      <c r="K97" s="2"/>
      <c r="L97" s="2"/>
      <c r="M97" s="29"/>
    </row>
    <row r="98" spans="1:13" ht="14.5" x14ac:dyDescent="0.25">
      <c r="A98" s="135"/>
      <c r="B98" s="19"/>
      <c r="C98" s="1"/>
      <c r="D98" s="91"/>
      <c r="E98" s="129" t="s">
        <v>133</v>
      </c>
      <c r="F98" s="91"/>
      <c r="G98" s="91"/>
      <c r="H98" s="91"/>
      <c r="I98" s="91"/>
      <c r="J98" s="91"/>
      <c r="K98" s="2"/>
      <c r="L98" s="2"/>
      <c r="M98" s="29"/>
    </row>
    <row r="99" spans="1:13" ht="14.5" x14ac:dyDescent="0.25">
      <c r="A99" s="136"/>
      <c r="B99" s="137"/>
      <c r="C99" s="137"/>
      <c r="D99" s="47"/>
      <c r="E99" s="197" t="s">
        <v>151</v>
      </c>
      <c r="F99" s="47"/>
      <c r="G99" s="47"/>
      <c r="H99" s="47"/>
      <c r="I99" s="47"/>
      <c r="J99" s="47"/>
      <c r="K99" s="138"/>
      <c r="L99" s="138"/>
      <c r="M99" s="139"/>
    </row>
    <row r="100" spans="1:13" x14ac:dyDescent="0.25">
      <c r="A100" s="35"/>
      <c r="B100" s="35"/>
      <c r="C100" s="140"/>
      <c r="D100" s="35"/>
      <c r="E100" s="35"/>
      <c r="F100" s="35"/>
      <c r="G100" s="49"/>
      <c r="H100" s="35"/>
      <c r="I100" s="35"/>
      <c r="J100" s="35"/>
      <c r="K100" s="35"/>
      <c r="L100" s="139"/>
      <c r="M100" s="139"/>
    </row>
    <row r="101" spans="1:13" x14ac:dyDescent="0.25">
      <c r="A101" s="35"/>
      <c r="B101" s="35"/>
      <c r="C101" s="35"/>
      <c r="D101" s="35"/>
      <c r="E101" s="141"/>
      <c r="F101" s="142"/>
      <c r="G101" s="141"/>
      <c r="H101" s="141"/>
      <c r="I101" s="142"/>
      <c r="J101" s="142"/>
      <c r="K101" s="142"/>
      <c r="L101" s="142"/>
      <c r="M101" s="139"/>
    </row>
    <row r="102" spans="1:13" x14ac:dyDescent="0.25">
      <c r="A102" s="35"/>
      <c r="B102" s="35"/>
      <c r="C102" s="35"/>
      <c r="D102" s="35"/>
      <c r="E102" s="38"/>
      <c r="F102" s="143"/>
      <c r="G102" s="39"/>
      <c r="H102" s="39"/>
      <c r="I102" s="40"/>
      <c r="J102" s="41"/>
      <c r="K102" s="42"/>
      <c r="L102" s="42"/>
      <c r="M102" s="139"/>
    </row>
    <row r="103" spans="1:13" x14ac:dyDescent="0.25">
      <c r="A103" s="35"/>
      <c r="B103" s="35"/>
      <c r="C103" s="35"/>
      <c r="D103" s="35"/>
      <c r="E103" s="38"/>
      <c r="F103" s="143"/>
      <c r="G103" s="39"/>
      <c r="H103" s="39"/>
      <c r="I103" s="40"/>
      <c r="J103" s="41"/>
      <c r="K103" s="42"/>
      <c r="L103" s="42"/>
      <c r="M103" s="139"/>
    </row>
    <row r="104" spans="1:13" x14ac:dyDescent="0.25">
      <c r="A104" s="35"/>
      <c r="B104" s="35"/>
      <c r="C104" s="35"/>
      <c r="D104" s="35"/>
      <c r="E104" s="38"/>
      <c r="F104" s="143"/>
      <c r="G104" s="39"/>
      <c r="H104" s="39"/>
      <c r="I104" s="40"/>
      <c r="J104" s="41"/>
      <c r="K104" s="42"/>
      <c r="L104" s="42"/>
      <c r="M104" s="139"/>
    </row>
    <row r="105" spans="1:13" x14ac:dyDescent="0.25">
      <c r="A105" s="35"/>
      <c r="B105" s="35"/>
      <c r="C105" s="35"/>
      <c r="D105" s="35"/>
      <c r="E105" s="38"/>
      <c r="F105" s="143"/>
      <c r="G105" s="39"/>
      <c r="H105" s="39"/>
      <c r="I105" s="40"/>
      <c r="J105" s="41"/>
      <c r="K105" s="42"/>
      <c r="L105" s="42"/>
      <c r="M105" s="139"/>
    </row>
    <row r="106" spans="1:13" x14ac:dyDescent="0.25">
      <c r="A106" s="35"/>
      <c r="B106" s="35"/>
      <c r="C106" s="35"/>
      <c r="D106" s="35"/>
      <c r="E106" s="38"/>
      <c r="F106" s="143"/>
      <c r="G106" s="39"/>
      <c r="H106" s="39"/>
      <c r="I106" s="40"/>
      <c r="J106" s="41"/>
      <c r="K106" s="42"/>
      <c r="L106" s="42"/>
      <c r="M106" s="139"/>
    </row>
    <row r="107" spans="1:13" x14ac:dyDescent="0.25">
      <c r="A107" s="35"/>
      <c r="B107" s="35"/>
      <c r="C107" s="35"/>
      <c r="D107" s="35"/>
      <c r="E107" s="38"/>
      <c r="F107" s="143"/>
      <c r="G107" s="39"/>
      <c r="H107" s="39"/>
      <c r="I107" s="40"/>
      <c r="J107" s="144"/>
      <c r="K107" s="145"/>
      <c r="L107" s="42"/>
      <c r="M107" s="139"/>
    </row>
    <row r="108" spans="1:13" x14ac:dyDescent="0.25">
      <c r="A108" s="35"/>
      <c r="B108" s="35"/>
      <c r="C108" s="35"/>
      <c r="D108" s="35"/>
      <c r="E108" s="38"/>
      <c r="F108" s="143"/>
      <c r="G108" s="39"/>
      <c r="H108" s="39"/>
      <c r="I108" s="40"/>
      <c r="J108" s="145"/>
      <c r="K108" s="145"/>
      <c r="L108" s="42"/>
      <c r="M108" s="139"/>
    </row>
    <row r="109" spans="1:13" x14ac:dyDescent="0.25">
      <c r="A109" s="35"/>
      <c r="B109" s="35"/>
      <c r="C109" s="35"/>
      <c r="D109" s="35"/>
      <c r="E109" s="38"/>
      <c r="F109" s="146"/>
      <c r="G109" s="147"/>
      <c r="H109" s="147"/>
      <c r="I109" s="40"/>
      <c r="J109" s="148"/>
      <c r="K109" s="149"/>
      <c r="L109" s="42"/>
      <c r="M109" s="139"/>
    </row>
    <row r="110" spans="1:13" x14ac:dyDescent="0.25">
      <c r="A110" s="35"/>
      <c r="B110" s="140"/>
      <c r="C110" s="35"/>
      <c r="D110" s="35"/>
      <c r="E110" s="150"/>
      <c r="F110" s="38"/>
      <c r="G110" s="38"/>
      <c r="H110" s="38"/>
      <c r="I110" s="151"/>
      <c r="J110" s="152"/>
      <c r="K110" s="153"/>
      <c r="L110" s="42"/>
      <c r="M110" s="139"/>
    </row>
    <row r="111" spans="1:13" x14ac:dyDescent="0.25">
      <c r="A111" s="35"/>
      <c r="B111" s="49"/>
      <c r="C111" s="49"/>
      <c r="D111" s="49"/>
      <c r="E111" s="49"/>
      <c r="F111" s="154"/>
      <c r="G111" s="154"/>
      <c r="H111" s="154"/>
      <c r="I111" s="155"/>
      <c r="J111" s="152"/>
      <c r="K111" s="153"/>
      <c r="L111" s="153"/>
      <c r="M111" s="139"/>
    </row>
    <row r="112" spans="1:13" x14ac:dyDescent="0.25">
      <c r="A112" s="35"/>
      <c r="B112" s="49"/>
      <c r="C112" s="35"/>
      <c r="D112" s="35"/>
      <c r="E112" s="35"/>
      <c r="F112" s="156"/>
      <c r="G112" s="157"/>
      <c r="H112" s="157"/>
      <c r="I112" s="158"/>
      <c r="J112" s="49"/>
      <c r="K112" s="159"/>
      <c r="L112" s="159"/>
      <c r="M112" s="139"/>
    </row>
    <row r="113" spans="1:13" x14ac:dyDescent="0.25">
      <c r="A113" s="35"/>
      <c r="B113" s="35"/>
      <c r="C113" s="49"/>
      <c r="D113" s="49"/>
      <c r="E113" s="49"/>
      <c r="F113" s="160"/>
      <c r="G113" s="160"/>
      <c r="H113" s="160"/>
      <c r="I113" s="160"/>
      <c r="J113" s="198"/>
      <c r="K113" s="198"/>
      <c r="L113" s="161"/>
      <c r="M113" s="139"/>
    </row>
    <row r="114" spans="1:13" x14ac:dyDescent="0.25">
      <c r="A114" s="35"/>
      <c r="B114" s="49"/>
      <c r="C114" s="49"/>
      <c r="D114" s="49"/>
      <c r="E114" s="49"/>
      <c r="F114" s="160"/>
      <c r="G114" s="160"/>
      <c r="H114" s="160"/>
      <c r="I114" s="158"/>
      <c r="J114" s="49"/>
      <c r="K114" s="159"/>
      <c r="L114" s="159"/>
      <c r="M114" s="139"/>
    </row>
    <row r="115" spans="1:13" x14ac:dyDescent="0.25">
      <c r="A115" s="35"/>
      <c r="B115" s="49"/>
      <c r="C115" s="49"/>
      <c r="D115" s="49"/>
      <c r="E115" s="49"/>
      <c r="F115" s="160"/>
      <c r="G115" s="160"/>
      <c r="H115" s="160"/>
      <c r="I115" s="158"/>
      <c r="J115" s="49"/>
      <c r="K115" s="159"/>
      <c r="L115" s="159"/>
      <c r="M115" s="139"/>
    </row>
    <row r="116" spans="1:13" x14ac:dyDescent="0.25">
      <c r="A116" s="162"/>
      <c r="B116" s="49"/>
      <c r="C116" s="49"/>
      <c r="D116" s="49"/>
      <c r="E116" s="49"/>
      <c r="F116" s="160"/>
      <c r="G116" s="160"/>
      <c r="H116" s="160"/>
      <c r="I116" s="158"/>
      <c r="J116" s="49"/>
      <c r="K116" s="159"/>
      <c r="L116" s="159"/>
      <c r="M116" s="139"/>
    </row>
    <row r="117" spans="1:13" x14ac:dyDescent="0.25">
      <c r="A117" s="35"/>
      <c r="B117" s="35"/>
      <c r="C117" s="35"/>
      <c r="D117" s="35"/>
      <c r="E117" s="35"/>
      <c r="F117" s="163"/>
      <c r="G117" s="163"/>
      <c r="H117" s="163"/>
      <c r="I117" s="158"/>
      <c r="J117" s="35"/>
      <c r="K117" s="139"/>
      <c r="L117" s="139"/>
      <c r="M117" s="139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139"/>
      <c r="M118" s="139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139"/>
      <c r="M119" s="139"/>
    </row>
    <row r="120" spans="1:13" x14ac:dyDescent="0.25">
      <c r="A120" s="164"/>
      <c r="B120" s="35"/>
      <c r="C120" s="165"/>
      <c r="D120" s="35"/>
      <c r="E120" s="35"/>
      <c r="F120" s="35"/>
      <c r="G120" s="35"/>
      <c r="H120" s="35"/>
      <c r="I120" s="35"/>
      <c r="J120" s="35"/>
      <c r="K120" s="35"/>
      <c r="L120" s="139"/>
      <c r="M120" s="139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39"/>
      <c r="M121" s="139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39"/>
      <c r="M122" s="140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139"/>
      <c r="M123" s="140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39"/>
      <c r="M124" s="140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139"/>
      <c r="M125" s="140"/>
    </row>
  </sheetData>
  <mergeCells count="6">
    <mergeCell ref="J113:K113"/>
    <mergeCell ref="F7:G7"/>
    <mergeCell ref="J8:K8"/>
    <mergeCell ref="D1:L1"/>
    <mergeCell ref="D2:L2"/>
    <mergeCell ref="J7:K7"/>
  </mergeCells>
  <phoneticPr fontId="0" type="noConversion"/>
  <printOptions horizontalCentered="1"/>
  <pageMargins left="0.5" right="0.5" top="0.5" bottom="0.5" header="0.5" footer="0.5"/>
  <pageSetup scale="90" fitToHeight="2" orientation="portrait" horizontalDpi="300" verticalDpi="300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35" sqref="G35"/>
    </sheetView>
  </sheetViews>
  <sheetFormatPr defaultRowHeight="12.5" x14ac:dyDescent="0.25"/>
  <cols>
    <col min="1" max="1" width="15.1796875" customWidth="1"/>
    <col min="2" max="2" width="9.54296875" customWidth="1"/>
    <col min="3" max="3" width="8.453125" customWidth="1"/>
    <col min="4" max="4" width="8.1796875" customWidth="1"/>
    <col min="5" max="5" width="8" customWidth="1"/>
    <col min="6" max="6" width="8.81640625" customWidth="1"/>
    <col min="8" max="8" width="8.7265625" customWidth="1"/>
    <col min="9" max="9" width="8.453125" customWidth="1"/>
    <col min="11" max="11" width="6.453125" customWidth="1"/>
    <col min="12" max="12" width="9.1796875" customWidth="1"/>
  </cols>
  <sheetData>
    <row r="1" spans="1:12" ht="15.75" customHeight="1" x14ac:dyDescent="0.3">
      <c r="A1" s="203" t="s">
        <v>49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7" x14ac:dyDescent="0.25">
      <c r="A2" s="95"/>
      <c r="B2" s="96" t="s">
        <v>50</v>
      </c>
      <c r="C2" s="97" t="s">
        <v>51</v>
      </c>
      <c r="D2" s="98" t="s">
        <v>52</v>
      </c>
      <c r="E2" s="98" t="s">
        <v>117</v>
      </c>
      <c r="F2" s="98" t="s">
        <v>53</v>
      </c>
      <c r="G2" s="98" t="s">
        <v>54</v>
      </c>
      <c r="H2" s="99" t="s">
        <v>55</v>
      </c>
      <c r="I2" s="7" t="s">
        <v>65</v>
      </c>
      <c r="J2" s="98" t="s">
        <v>56</v>
      </c>
      <c r="K2" s="98" t="s">
        <v>57</v>
      </c>
      <c r="L2" s="99" t="s">
        <v>58</v>
      </c>
    </row>
    <row r="3" spans="1:12" ht="13" x14ac:dyDescent="0.3">
      <c r="A3" s="100" t="s">
        <v>97</v>
      </c>
      <c r="B3" s="101">
        <v>4000</v>
      </c>
      <c r="C3" s="102">
        <f>B3*0.3</f>
        <v>1200</v>
      </c>
      <c r="D3" s="103">
        <f>(B3+C3+E3)/2</f>
        <v>2646.6666666666665</v>
      </c>
      <c r="E3" s="104">
        <f>(B3-C3)/30</f>
        <v>93.333333333333329</v>
      </c>
      <c r="F3" s="105">
        <f>D3*0.06</f>
        <v>158.79999999999998</v>
      </c>
      <c r="G3" s="30">
        <f>D3*0.005</f>
        <v>13.233333333333333</v>
      </c>
      <c r="H3" s="106">
        <f>D3*0.005</f>
        <v>13.233333333333333</v>
      </c>
      <c r="I3" s="181">
        <f>$B3*0.01</f>
        <v>40</v>
      </c>
      <c r="J3" s="107">
        <f>SUM(E3:I3)</f>
        <v>318.60000000000002</v>
      </c>
      <c r="K3" s="108">
        <f>cowcalf!$G$21</f>
        <v>100</v>
      </c>
      <c r="L3" s="109">
        <f>J3/K3</f>
        <v>3.1860000000000004</v>
      </c>
    </row>
    <row r="4" spans="1:12" ht="13" x14ac:dyDescent="0.3">
      <c r="A4" s="100" t="s">
        <v>98</v>
      </c>
      <c r="B4" s="101">
        <v>6000</v>
      </c>
      <c r="C4" s="102">
        <f t="shared" ref="C4:C10" si="0">B4*0.3</f>
        <v>1800</v>
      </c>
      <c r="D4" s="103">
        <f t="shared" ref="D4:D10" si="1">(B4+C4+E4)/2</f>
        <v>3970</v>
      </c>
      <c r="E4" s="104">
        <f t="shared" ref="E4:E10" si="2">(B4-C4)/30</f>
        <v>140</v>
      </c>
      <c r="F4" s="105">
        <f t="shared" ref="F4:F10" si="3">D4*0.06</f>
        <v>238.2</v>
      </c>
      <c r="G4" s="30">
        <f t="shared" ref="G4:G10" si="4">D4*0.005</f>
        <v>19.850000000000001</v>
      </c>
      <c r="H4" s="106">
        <f t="shared" ref="H4:H10" si="5">D4*0.005</f>
        <v>19.850000000000001</v>
      </c>
      <c r="I4" s="195">
        <f t="shared" ref="I4:I10" si="6">$B4*0.01</f>
        <v>60</v>
      </c>
      <c r="J4" s="107">
        <f t="shared" ref="J4:J10" si="7">SUM(E4:I4)</f>
        <v>477.90000000000003</v>
      </c>
      <c r="K4" s="108">
        <f>cowcalf!$G$21</f>
        <v>100</v>
      </c>
      <c r="L4" s="110">
        <f t="shared" ref="L4:L10" si="8">J4/K4</f>
        <v>4.7789999999999999</v>
      </c>
    </row>
    <row r="5" spans="1:12" ht="24" customHeight="1" x14ac:dyDescent="0.3">
      <c r="A5" s="100" t="s">
        <v>59</v>
      </c>
      <c r="B5" s="101">
        <v>5500</v>
      </c>
      <c r="C5" s="102">
        <f t="shared" si="0"/>
        <v>1650</v>
      </c>
      <c r="D5" s="103">
        <f t="shared" si="1"/>
        <v>3639.1666666666665</v>
      </c>
      <c r="E5" s="104">
        <f t="shared" si="2"/>
        <v>128.33333333333334</v>
      </c>
      <c r="F5" s="105">
        <f t="shared" si="3"/>
        <v>218.35</v>
      </c>
      <c r="G5" s="30">
        <f t="shared" si="4"/>
        <v>18.195833333333333</v>
      </c>
      <c r="H5" s="106">
        <f t="shared" si="5"/>
        <v>18.195833333333333</v>
      </c>
      <c r="I5" s="195">
        <f t="shared" si="6"/>
        <v>55</v>
      </c>
      <c r="J5" s="107">
        <f t="shared" si="7"/>
        <v>438.07499999999999</v>
      </c>
      <c r="K5" s="108">
        <f>cowcalf!$G$21</f>
        <v>100</v>
      </c>
      <c r="L5" s="110">
        <f t="shared" si="8"/>
        <v>4.3807499999999999</v>
      </c>
    </row>
    <row r="6" spans="1:12" ht="13" x14ac:dyDescent="0.3">
      <c r="A6" s="100" t="s">
        <v>60</v>
      </c>
      <c r="B6" s="101">
        <v>3000</v>
      </c>
      <c r="C6" s="102">
        <f t="shared" si="0"/>
        <v>900</v>
      </c>
      <c r="D6" s="103">
        <f t="shared" si="1"/>
        <v>1985</v>
      </c>
      <c r="E6" s="104">
        <f t="shared" si="2"/>
        <v>70</v>
      </c>
      <c r="F6" s="105">
        <f t="shared" si="3"/>
        <v>119.1</v>
      </c>
      <c r="G6" s="30">
        <f t="shared" si="4"/>
        <v>9.9250000000000007</v>
      </c>
      <c r="H6" s="106">
        <f t="shared" si="5"/>
        <v>9.9250000000000007</v>
      </c>
      <c r="I6" s="195">
        <f t="shared" si="6"/>
        <v>30</v>
      </c>
      <c r="J6" s="107">
        <f t="shared" si="7"/>
        <v>238.95000000000002</v>
      </c>
      <c r="K6" s="108">
        <f>cowcalf!$G$21</f>
        <v>100</v>
      </c>
      <c r="L6" s="110">
        <f t="shared" si="8"/>
        <v>2.3895</v>
      </c>
    </row>
    <row r="7" spans="1:12" ht="13" x14ac:dyDescent="0.3">
      <c r="A7" s="100" t="s">
        <v>61</v>
      </c>
      <c r="B7" s="101">
        <v>500</v>
      </c>
      <c r="C7" s="102">
        <f t="shared" si="0"/>
        <v>150</v>
      </c>
      <c r="D7" s="103">
        <f t="shared" si="1"/>
        <v>330.83333333333331</v>
      </c>
      <c r="E7" s="104">
        <f t="shared" si="2"/>
        <v>11.666666666666666</v>
      </c>
      <c r="F7" s="105">
        <f t="shared" si="3"/>
        <v>19.849999999999998</v>
      </c>
      <c r="G7" s="30">
        <f t="shared" si="4"/>
        <v>1.6541666666666666</v>
      </c>
      <c r="H7" s="106">
        <f t="shared" si="5"/>
        <v>1.6541666666666666</v>
      </c>
      <c r="I7" s="195">
        <f t="shared" si="6"/>
        <v>5</v>
      </c>
      <c r="J7" s="107">
        <f t="shared" si="7"/>
        <v>39.825000000000003</v>
      </c>
      <c r="K7" s="108">
        <f>cowcalf!$G$21</f>
        <v>100</v>
      </c>
      <c r="L7" s="110">
        <f t="shared" si="8"/>
        <v>0.39825000000000005</v>
      </c>
    </row>
    <row r="8" spans="1:12" ht="13" x14ac:dyDescent="0.3">
      <c r="A8" s="100" t="s">
        <v>99</v>
      </c>
      <c r="B8" s="101">
        <v>2500</v>
      </c>
      <c r="C8" s="102">
        <f t="shared" si="0"/>
        <v>750</v>
      </c>
      <c r="D8" s="103">
        <f t="shared" si="1"/>
        <v>1654.1666666666667</v>
      </c>
      <c r="E8" s="104">
        <f t="shared" si="2"/>
        <v>58.333333333333336</v>
      </c>
      <c r="F8" s="105">
        <f t="shared" si="3"/>
        <v>99.25</v>
      </c>
      <c r="G8" s="30">
        <f t="shared" si="4"/>
        <v>8.2708333333333339</v>
      </c>
      <c r="H8" s="106">
        <f t="shared" si="5"/>
        <v>8.2708333333333339</v>
      </c>
      <c r="I8" s="195">
        <f t="shared" si="6"/>
        <v>25</v>
      </c>
      <c r="J8" s="107">
        <f t="shared" si="7"/>
        <v>199.12500000000003</v>
      </c>
      <c r="K8" s="108">
        <f>cowcalf!$G$21</f>
        <v>100</v>
      </c>
      <c r="L8" s="110">
        <f t="shared" si="8"/>
        <v>1.9912500000000002</v>
      </c>
    </row>
    <row r="9" spans="1:12" ht="23.25" customHeight="1" x14ac:dyDescent="0.3">
      <c r="A9" s="100" t="s">
        <v>62</v>
      </c>
      <c r="B9" s="101">
        <v>6000</v>
      </c>
      <c r="C9" s="102">
        <f t="shared" si="0"/>
        <v>1800</v>
      </c>
      <c r="D9" s="103">
        <f t="shared" si="1"/>
        <v>3970</v>
      </c>
      <c r="E9" s="104">
        <f t="shared" si="2"/>
        <v>140</v>
      </c>
      <c r="F9" s="105">
        <f t="shared" si="3"/>
        <v>238.2</v>
      </c>
      <c r="G9" s="30">
        <f t="shared" si="4"/>
        <v>19.850000000000001</v>
      </c>
      <c r="H9" s="106">
        <f t="shared" si="5"/>
        <v>19.850000000000001</v>
      </c>
      <c r="I9" s="195">
        <f t="shared" si="6"/>
        <v>60</v>
      </c>
      <c r="J9" s="107">
        <f t="shared" si="7"/>
        <v>477.90000000000003</v>
      </c>
      <c r="K9" s="108">
        <f>cowcalf!$G$21</f>
        <v>100</v>
      </c>
      <c r="L9" s="110">
        <f t="shared" si="8"/>
        <v>4.7789999999999999</v>
      </c>
    </row>
    <row r="10" spans="1:12" ht="13" x14ac:dyDescent="0.3">
      <c r="A10" s="100" t="s">
        <v>100</v>
      </c>
      <c r="B10" s="101">
        <v>3500</v>
      </c>
      <c r="C10" s="102">
        <f t="shared" si="0"/>
        <v>1050</v>
      </c>
      <c r="D10" s="103">
        <f t="shared" si="1"/>
        <v>2315.8333333333335</v>
      </c>
      <c r="E10" s="104">
        <f t="shared" si="2"/>
        <v>81.666666666666671</v>
      </c>
      <c r="F10" s="105">
        <f t="shared" si="3"/>
        <v>138.95000000000002</v>
      </c>
      <c r="G10" s="30">
        <f t="shared" si="4"/>
        <v>11.579166666666667</v>
      </c>
      <c r="H10" s="106">
        <f t="shared" si="5"/>
        <v>11.579166666666667</v>
      </c>
      <c r="I10" s="196">
        <f t="shared" si="6"/>
        <v>35</v>
      </c>
      <c r="J10" s="107">
        <f t="shared" si="7"/>
        <v>278.77500000000003</v>
      </c>
      <c r="K10" s="108">
        <f>cowcalf!$G$21</f>
        <v>100</v>
      </c>
      <c r="L10" s="110">
        <f t="shared" si="8"/>
        <v>2.7877500000000004</v>
      </c>
    </row>
    <row r="11" spans="1:12" ht="13" x14ac:dyDescent="0.3">
      <c r="A11" s="112" t="s">
        <v>142</v>
      </c>
      <c r="B11" s="88"/>
      <c r="C11" s="88"/>
      <c r="D11" s="88"/>
      <c r="E11" s="88"/>
      <c r="F11" s="88"/>
      <c r="G11" s="5"/>
      <c r="H11" s="88"/>
      <c r="I11" s="115"/>
      <c r="J11" s="4" t="s">
        <v>63</v>
      </c>
      <c r="K11" s="88"/>
      <c r="L11" s="113">
        <f>SUM(L3:L10)</f>
        <v>24.691499999999998</v>
      </c>
    </row>
    <row r="12" spans="1:12" ht="13" x14ac:dyDescent="0.3">
      <c r="A12" s="114" t="s">
        <v>64</v>
      </c>
      <c r="B12" s="115"/>
      <c r="C12" s="115"/>
      <c r="D12" s="115"/>
      <c r="E12" s="115"/>
      <c r="F12" s="115"/>
      <c r="G12" s="116"/>
      <c r="H12" s="7"/>
      <c r="I12" s="7"/>
      <c r="J12" s="47"/>
      <c r="K12" s="182"/>
      <c r="L12" s="183"/>
    </row>
    <row r="13" spans="1:12" ht="13" x14ac:dyDescent="0.3">
      <c r="A13" s="117" t="s">
        <v>101</v>
      </c>
      <c r="B13" s="115"/>
      <c r="C13" s="115"/>
      <c r="D13" s="115"/>
      <c r="E13" s="115"/>
      <c r="F13" s="115"/>
      <c r="G13" s="116"/>
      <c r="H13" s="115"/>
      <c r="I13" s="115"/>
      <c r="J13" s="115"/>
    </row>
    <row r="14" spans="1:12" ht="13" x14ac:dyDescent="0.3">
      <c r="A14" s="117" t="s">
        <v>143</v>
      </c>
      <c r="B14" s="115"/>
      <c r="C14" s="115"/>
      <c r="D14" s="115"/>
      <c r="E14" s="115"/>
      <c r="F14" s="115"/>
      <c r="G14" s="116"/>
      <c r="H14" s="115"/>
      <c r="I14" s="115"/>
      <c r="J14" s="115"/>
    </row>
    <row r="15" spans="1:12" ht="13" x14ac:dyDescent="0.3">
      <c r="A15" s="117" t="s">
        <v>67</v>
      </c>
      <c r="B15" s="115"/>
      <c r="C15" s="115"/>
      <c r="D15" s="115"/>
      <c r="E15" s="115"/>
      <c r="F15" s="115"/>
      <c r="G15" s="116"/>
      <c r="H15" s="115"/>
      <c r="I15" s="115"/>
      <c r="J15" s="115"/>
    </row>
    <row r="16" spans="1:12" x14ac:dyDescent="0.25">
      <c r="A16" s="114" t="s">
        <v>68</v>
      </c>
      <c r="B16" s="49"/>
      <c r="C16" s="49"/>
    </row>
    <row r="17" spans="1:12" x14ac:dyDescent="0.25">
      <c r="A17" s="114" t="s">
        <v>146</v>
      </c>
      <c r="B17" s="49"/>
      <c r="C17" s="49"/>
    </row>
    <row r="18" spans="1:12" x14ac:dyDescent="0.25">
      <c r="A18" s="114"/>
      <c r="B18" s="49"/>
      <c r="C18" s="49"/>
    </row>
    <row r="19" spans="1:12" ht="13" x14ac:dyDescent="0.3">
      <c r="A19" s="203" t="s">
        <v>69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27" x14ac:dyDescent="0.25">
      <c r="A20" s="10"/>
      <c r="B20" s="190" t="s">
        <v>50</v>
      </c>
      <c r="C20" s="188" t="s">
        <v>51</v>
      </c>
      <c r="D20" s="189" t="s">
        <v>52</v>
      </c>
      <c r="E20" s="189" t="s">
        <v>117</v>
      </c>
      <c r="F20" s="189" t="s">
        <v>53</v>
      </c>
      <c r="G20" s="98" t="s">
        <v>54</v>
      </c>
      <c r="H20" s="99" t="s">
        <v>70</v>
      </c>
      <c r="I20" s="1" t="s">
        <v>65</v>
      </c>
      <c r="J20" s="98" t="s">
        <v>56</v>
      </c>
      <c r="K20" s="98" t="s">
        <v>57</v>
      </c>
      <c r="L20" s="99" t="s">
        <v>58</v>
      </c>
    </row>
    <row r="21" spans="1:12" ht="13" x14ac:dyDescent="0.3">
      <c r="A21" s="118" t="s">
        <v>71</v>
      </c>
      <c r="B21" s="119">
        <v>12500</v>
      </c>
      <c r="C21" s="120">
        <f>B21*0.3</f>
        <v>3750</v>
      </c>
      <c r="D21" s="121">
        <f>(B21+C21+E21)/2</f>
        <v>8343.75</v>
      </c>
      <c r="E21" s="121">
        <f>(B21-C21)/20</f>
        <v>437.5</v>
      </c>
      <c r="F21" s="121">
        <f>D21*0.06</f>
        <v>500.625</v>
      </c>
      <c r="G21" s="121">
        <f>D21*0.005</f>
        <v>41.71875</v>
      </c>
      <c r="H21" s="121">
        <f>D21*0.01</f>
        <v>83.4375</v>
      </c>
      <c r="I21" s="121">
        <f>B21*0.02</f>
        <v>250</v>
      </c>
      <c r="J21" s="170">
        <f>SUM(E21:I21)</f>
        <v>1313.28125</v>
      </c>
      <c r="K21" s="171">
        <f>cowcalf!$G$21</f>
        <v>100</v>
      </c>
      <c r="L21" s="109">
        <f>J21/K21</f>
        <v>13.1328125</v>
      </c>
    </row>
    <row r="22" spans="1:12" ht="13" x14ac:dyDescent="0.3">
      <c r="A22" s="167" t="s">
        <v>102</v>
      </c>
      <c r="B22" s="101">
        <v>6000</v>
      </c>
      <c r="C22" s="168">
        <f>B22*0.3</f>
        <v>1800</v>
      </c>
      <c r="D22" s="169">
        <f>(B22+C22+E22)/2</f>
        <v>4005</v>
      </c>
      <c r="E22" s="169">
        <f>(B22-C22)/20</f>
        <v>210</v>
      </c>
      <c r="F22" s="169">
        <f>D22*0.06</f>
        <v>240.29999999999998</v>
      </c>
      <c r="G22" s="169">
        <f>D22*0.005</f>
        <v>20.025000000000002</v>
      </c>
      <c r="H22" s="169">
        <f>D22*0.01</f>
        <v>40.050000000000004</v>
      </c>
      <c r="I22" s="169">
        <f>B22*0.02</f>
        <v>120</v>
      </c>
      <c r="J22" s="172">
        <f>SUM(E22:I22)</f>
        <v>630.375</v>
      </c>
      <c r="K22" s="173">
        <f>cowcalf!$G$21</f>
        <v>100</v>
      </c>
      <c r="L22" s="110">
        <f>J22/K22</f>
        <v>6.30375</v>
      </c>
    </row>
    <row r="23" spans="1:12" ht="13" x14ac:dyDescent="0.3">
      <c r="A23" s="167" t="s">
        <v>103</v>
      </c>
      <c r="B23" s="101">
        <v>7500</v>
      </c>
      <c r="C23" s="168">
        <f>B23*0.3</f>
        <v>2250</v>
      </c>
      <c r="D23" s="169">
        <f>(B23+C23+E23)/2</f>
        <v>5006.25</v>
      </c>
      <c r="E23" s="169">
        <f>(B23-C23)/20</f>
        <v>262.5</v>
      </c>
      <c r="F23" s="169">
        <f>D23*0.06</f>
        <v>300.375</v>
      </c>
      <c r="G23" s="169">
        <f>D23*0.005</f>
        <v>25.03125</v>
      </c>
      <c r="H23" s="169">
        <f>D23*0.01</f>
        <v>50.0625</v>
      </c>
      <c r="I23" s="169">
        <f>B23*0.02</f>
        <v>150</v>
      </c>
      <c r="J23" s="172">
        <f>SUM(E23:I23)</f>
        <v>787.96875</v>
      </c>
      <c r="K23" s="173">
        <f>cowcalf!$G$21</f>
        <v>100</v>
      </c>
      <c r="L23" s="110">
        <f>J23/K23</f>
        <v>7.8796875000000002</v>
      </c>
    </row>
    <row r="24" spans="1:12" ht="13" x14ac:dyDescent="0.3">
      <c r="A24" s="122" t="s">
        <v>72</v>
      </c>
      <c r="B24" s="123">
        <v>2500</v>
      </c>
      <c r="C24" s="124">
        <f>B24*0.3</f>
        <v>750</v>
      </c>
      <c r="D24" s="125">
        <f>(B24+C24+E24)/2</f>
        <v>1668.75</v>
      </c>
      <c r="E24" s="125">
        <f>(B24-C24)/20</f>
        <v>87.5</v>
      </c>
      <c r="F24" s="125">
        <f>D24*0.06</f>
        <v>100.125</v>
      </c>
      <c r="G24" s="125">
        <f>D24*0.005</f>
        <v>8.34375</v>
      </c>
      <c r="H24" s="125">
        <f>D24*0.01</f>
        <v>16.6875</v>
      </c>
      <c r="I24" s="125">
        <f>B24*0.02</f>
        <v>50</v>
      </c>
      <c r="J24" s="174">
        <f>SUM(E24:I24)</f>
        <v>262.65625</v>
      </c>
      <c r="K24" s="175">
        <f>cowcalf!$G$21</f>
        <v>100</v>
      </c>
      <c r="L24" s="111">
        <f>J24/K24</f>
        <v>2.6265624999999999</v>
      </c>
    </row>
    <row r="25" spans="1:12" ht="13" x14ac:dyDescent="0.3">
      <c r="A25" s="117" t="s">
        <v>144</v>
      </c>
      <c r="B25" s="28"/>
      <c r="C25" s="28"/>
      <c r="F25" s="13"/>
      <c r="G25" s="126"/>
      <c r="H25" s="115"/>
      <c r="I25" s="115"/>
      <c r="J25" s="7" t="s">
        <v>63</v>
      </c>
      <c r="K25" s="115"/>
      <c r="L25" s="184">
        <f>SUM(L21:L24)</f>
        <v>29.942812499999999</v>
      </c>
    </row>
    <row r="26" spans="1:12" ht="13" x14ac:dyDescent="0.3">
      <c r="A26" s="114" t="s">
        <v>64</v>
      </c>
      <c r="B26" s="28"/>
      <c r="C26" s="28"/>
      <c r="J26" s="50"/>
      <c r="K26" s="59"/>
      <c r="L26" s="183"/>
    </row>
    <row r="27" spans="1:12" x14ac:dyDescent="0.25">
      <c r="A27" s="117" t="s">
        <v>66</v>
      </c>
      <c r="B27" s="31"/>
      <c r="C27" s="31"/>
    </row>
    <row r="28" spans="1:12" x14ac:dyDescent="0.25">
      <c r="A28" s="117" t="s">
        <v>143</v>
      </c>
      <c r="B28" s="28"/>
      <c r="C28" s="28"/>
    </row>
    <row r="29" spans="1:12" x14ac:dyDescent="0.25">
      <c r="A29" s="117" t="s">
        <v>67</v>
      </c>
      <c r="B29" s="28"/>
      <c r="C29" s="28"/>
    </row>
    <row r="30" spans="1:12" x14ac:dyDescent="0.25">
      <c r="A30" s="114" t="s">
        <v>73</v>
      </c>
      <c r="B30" s="31"/>
      <c r="C30" s="31"/>
    </row>
    <row r="31" spans="1:12" x14ac:dyDescent="0.25">
      <c r="A31" s="114" t="s">
        <v>147</v>
      </c>
      <c r="B31" s="28"/>
      <c r="C31" s="28"/>
      <c r="J31" s="1"/>
      <c r="L31" s="17"/>
    </row>
    <row r="32" spans="1:12" x14ac:dyDescent="0.25">
      <c r="A32" s="166" t="s">
        <v>119</v>
      </c>
    </row>
    <row r="33" spans="1:1" x14ac:dyDescent="0.25">
      <c r="A33" s="166" t="s">
        <v>120</v>
      </c>
    </row>
  </sheetData>
  <mergeCells count="2">
    <mergeCell ref="A1:L1"/>
    <mergeCell ref="A19:L19"/>
  </mergeCells>
  <phoneticPr fontId="7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cowcalf</vt:lpstr>
      <vt:lpstr>Buildings and Machinery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2012-04-11T14:49:49Z</cp:lastPrinted>
  <dcterms:created xsi:type="dcterms:W3CDTF">1999-03-19T18:36:31Z</dcterms:created>
  <dcterms:modified xsi:type="dcterms:W3CDTF">2016-12-01T18:07:56Z</dcterms:modified>
</cp:coreProperties>
</file>