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oose.14\Documents\website\AgLaw\FarmManagement\EnterpriseBudgets\"/>
    </mc:Choice>
  </mc:AlternateContent>
  <bookViews>
    <workbookView xWindow="0" yWindow="0" windowWidth="19200" windowHeight="8590"/>
  </bookViews>
  <sheets>
    <sheet name="Introduction" sheetId="4" r:id="rId1"/>
    <sheet name="Budget" sheetId="1" r:id="rId2"/>
    <sheet name="Feed Costs Calculations" sheetId="2" r:id="rId3"/>
    <sheet name="Buildings and Machinery" sheetId="3" r:id="rId4"/>
  </sheets>
  <definedNames>
    <definedName name="_xlnm.Print_Area" localSheetId="1">Budget!$A$1:$M$111</definedName>
    <definedName name="Z_47165A6A_348F_4A9A_9FCB_8E7A26C3DE18_.wvu.PrintArea" localSheetId="1" hidden="1">Budget!$A$1:$AE$142</definedName>
    <definedName name="Z_4AD55AF8_0F2E_4AC2_BF62_C82318D88CF4_.wvu.PrintArea" localSheetId="1" hidden="1">Budget!$A$1:$AE$142</definedName>
    <definedName name="Z_653D8C6C_C45C_4A2C_9F21_5ED08C5C1254_.wvu.PrintArea" localSheetId="1" hidden="1">Budget!$A$1:$M$109</definedName>
    <definedName name="Z_A384C8E6_E615_4524_92F7_AAA97CEA51CA_.wvu.PrintArea" localSheetId="1" hidden="1">Budget!$A$1:$AE$142</definedName>
    <definedName name="Z_BE39A69A_34AB_4A1C_BCB1_D33E82EEFA26_.wvu.PrintArea" localSheetId="1" hidden="1">Budget!$A$1:$M$111</definedName>
    <definedName name="Z_EF795EF6_BAEC_44FA_96C5_B85C8CF6A75F_.wvu.PrintArea" localSheetId="1" hidden="1">Budget!$A$1:$AE$142</definedName>
  </definedNames>
  <calcPr calcId="152511"/>
  <customWorkbookViews>
    <customWorkbookView name="Barry Ward - Personal View" guid="{BE39A69A-34AB-4A1C-BCB1-D33E82EEFA26}" mergeInterval="0" personalView="1" maximized="1" xWindow="-8" yWindow="-8" windowWidth="1616" windowHeight="876" activeSheetId="1"/>
    <customWorkbookView name="Maurice Eastridge - Personal View" guid="{653D8C6C-C45C-4A2C-9F21-5ED08C5C1254}" mergeInterval="0" personalView="1" maximized="1" windowWidth="1676" windowHeight="825" activeSheetId="2"/>
    <customWorkbookView name="student.331 - Personal View" guid="{EF795EF6-BAEC-44FA-96C5-B85C8CF6A75F}" mergeInterval="0" personalView="1" maximized="1" xWindow="1" yWindow="1" windowWidth="1024" windowHeight="547" activeSheetId="1"/>
    <customWorkbookView name="Dianne Shoemaker - Personal View" guid="{A384C8E6-E615-4524-92F7-AAA97CEA51CA}" mergeInterval="0" personalView="1" maximized="1" windowWidth="1020" windowHeight="578" activeSheetId="1"/>
    <customWorkbookView name="AEDE - Personal View" guid="{4AD55AF8-0F2E-4AC2-BF62-C82318D88CF4}" mergeInterval="0" personalView="1" maximized="1" xWindow="1" yWindow="1" windowWidth="1280" windowHeight="806" activeSheetId="1"/>
    <customWorkbookView name="ward.8 - Personal View" guid="{47165A6A-348F-4A9A-9FCB-8E7A26C3DE18}" mergeInterval="0" personalView="1" maximized="1" xWindow="1" yWindow="1" windowWidth="1276" windowHeight="794" activeSheetId="1"/>
  </customWorkbookViews>
</workbook>
</file>

<file path=xl/calcChain.xml><?xml version="1.0" encoding="utf-8"?>
<calcChain xmlns="http://schemas.openxmlformats.org/spreadsheetml/2006/main">
  <c r="M12" i="1" l="1"/>
  <c r="M61" i="1" l="1"/>
  <c r="M49" i="1"/>
  <c r="M48" i="1"/>
  <c r="M46" i="1"/>
  <c r="M37" i="1"/>
  <c r="M13" i="1"/>
  <c r="M11" i="1"/>
  <c r="K80" i="1"/>
  <c r="M26" i="1"/>
  <c r="M24" i="1"/>
  <c r="M20" i="1"/>
  <c r="P15" i="2"/>
  <c r="M27" i="1" s="1"/>
  <c r="P14" i="2"/>
  <c r="P13" i="2"/>
  <c r="M25" i="1" s="1"/>
  <c r="P12" i="2"/>
  <c r="P11" i="2"/>
  <c r="P10" i="2"/>
  <c r="P9" i="2"/>
  <c r="M21" i="1" s="1"/>
  <c r="P8" i="2"/>
  <c r="P7" i="2"/>
  <c r="M19" i="1" s="1"/>
  <c r="M15" i="2"/>
  <c r="M14" i="2"/>
  <c r="M13" i="2"/>
  <c r="M12" i="2"/>
  <c r="M11" i="2"/>
  <c r="M10" i="2"/>
  <c r="M9" i="2"/>
  <c r="M8" i="2"/>
  <c r="M7" i="2"/>
  <c r="M47" i="1" l="1"/>
  <c r="M41" i="1"/>
  <c r="C14" i="2" l="1"/>
  <c r="C13" i="2"/>
  <c r="C12" i="2"/>
  <c r="G23" i="1"/>
  <c r="C11" i="2" l="1"/>
  <c r="M23" i="1"/>
  <c r="C3" i="3"/>
  <c r="E3" i="3"/>
  <c r="D3" i="3" s="1"/>
  <c r="I3" i="3"/>
  <c r="C4" i="3"/>
  <c r="E4" i="3"/>
  <c r="I4" i="3"/>
  <c r="E5" i="3"/>
  <c r="D5" i="3" s="1"/>
  <c r="C6" i="3"/>
  <c r="E6" i="3"/>
  <c r="I6" i="3"/>
  <c r="C7" i="3"/>
  <c r="E7" i="3" s="1"/>
  <c r="I7" i="3"/>
  <c r="C8" i="3"/>
  <c r="I8" i="3"/>
  <c r="C9" i="3"/>
  <c r="E9" i="3"/>
  <c r="D9" i="3" s="1"/>
  <c r="F9" i="3"/>
  <c r="I9" i="3"/>
  <c r="C10" i="3"/>
  <c r="E10" i="3"/>
  <c r="I10" i="3"/>
  <c r="C11" i="3"/>
  <c r="E11" i="3" s="1"/>
  <c r="I11" i="3"/>
  <c r="C12" i="3"/>
  <c r="I12" i="3"/>
  <c r="C23" i="3"/>
  <c r="E23" i="3"/>
  <c r="I23" i="3"/>
  <c r="C24" i="3"/>
  <c r="E24" i="3" s="1"/>
  <c r="D24" i="3"/>
  <c r="F24" i="3" s="1"/>
  <c r="I24" i="3"/>
  <c r="C25" i="3"/>
  <c r="I25" i="3"/>
  <c r="C26" i="3"/>
  <c r="E26" i="3"/>
  <c r="D26" i="3" s="1"/>
  <c r="I26" i="3"/>
  <c r="C27" i="3"/>
  <c r="E27" i="3"/>
  <c r="I27" i="3"/>
  <c r="C28" i="3"/>
  <c r="E28" i="3" s="1"/>
  <c r="D28" i="3"/>
  <c r="F28" i="3" s="1"/>
  <c r="H28" i="3"/>
  <c r="I28" i="3"/>
  <c r="C29" i="3"/>
  <c r="I29" i="3"/>
  <c r="C7" i="2"/>
  <c r="C8" i="2"/>
  <c r="C9" i="2"/>
  <c r="C15" i="2"/>
  <c r="I10" i="1"/>
  <c r="J10" i="1"/>
  <c r="K10" i="1"/>
  <c r="M10" i="1"/>
  <c r="M15" i="1" s="1"/>
  <c r="M60" i="1" s="1"/>
  <c r="I11" i="1"/>
  <c r="J11" i="1"/>
  <c r="K11" i="1"/>
  <c r="I12" i="1"/>
  <c r="J12" i="1"/>
  <c r="K12" i="1"/>
  <c r="I13" i="1"/>
  <c r="I15" i="1" s="1"/>
  <c r="J13" i="1"/>
  <c r="K13" i="1"/>
  <c r="J15" i="1"/>
  <c r="G22" i="1"/>
  <c r="I37" i="1"/>
  <c r="J37" i="1"/>
  <c r="K37" i="1"/>
  <c r="I41" i="1"/>
  <c r="J41" i="1"/>
  <c r="K41" i="1"/>
  <c r="I46" i="1"/>
  <c r="J46" i="1"/>
  <c r="K46" i="1"/>
  <c r="J47" i="1"/>
  <c r="K47" i="1"/>
  <c r="I7" i="2"/>
  <c r="J19" i="1" s="1"/>
  <c r="G7" i="2"/>
  <c r="I19" i="1"/>
  <c r="K7" i="2"/>
  <c r="K19" i="1" s="1"/>
  <c r="I8" i="2"/>
  <c r="J20" i="1"/>
  <c r="G8" i="2"/>
  <c r="I20" i="1"/>
  <c r="K8" i="2"/>
  <c r="I50" i="1" l="1"/>
  <c r="I60" i="1"/>
  <c r="G26" i="3"/>
  <c r="H26" i="3"/>
  <c r="D10" i="3"/>
  <c r="D6" i="3"/>
  <c r="I47" i="1"/>
  <c r="H24" i="3"/>
  <c r="D12" i="3"/>
  <c r="E12" i="3"/>
  <c r="E8" i="3"/>
  <c r="G3" i="3"/>
  <c r="H3" i="3"/>
  <c r="J28" i="3"/>
  <c r="L28" i="3" s="1"/>
  <c r="D27" i="3"/>
  <c r="F26" i="3"/>
  <c r="J26" i="3" s="1"/>
  <c r="L26" i="3" s="1"/>
  <c r="E25" i="3"/>
  <c r="G24" i="3"/>
  <c r="F5" i="3"/>
  <c r="G5" i="3"/>
  <c r="H5" i="3"/>
  <c r="J50" i="1"/>
  <c r="J60" i="1"/>
  <c r="K15" i="1"/>
  <c r="D29" i="3"/>
  <c r="E29" i="3"/>
  <c r="G28" i="3"/>
  <c r="J24" i="3"/>
  <c r="L24" i="3" s="1"/>
  <c r="D23" i="3"/>
  <c r="D11" i="3"/>
  <c r="G9" i="3"/>
  <c r="J9" i="3" s="1"/>
  <c r="L9" i="3" s="1"/>
  <c r="H9" i="3"/>
  <c r="D7" i="3"/>
  <c r="D4" i="3"/>
  <c r="F3" i="3"/>
  <c r="J3" i="3" s="1"/>
  <c r="L3" i="3" s="1"/>
  <c r="C10" i="2"/>
  <c r="M22" i="1"/>
  <c r="M50" i="1"/>
  <c r="M52" i="1" s="1"/>
  <c r="K20" i="1"/>
  <c r="K9" i="2"/>
  <c r="K21" i="1" s="1"/>
  <c r="G9" i="2"/>
  <c r="I21" i="1" s="1"/>
  <c r="I9" i="2"/>
  <c r="J21" i="1" s="1"/>
  <c r="I10" i="2"/>
  <c r="J22" i="1"/>
  <c r="K10" i="2"/>
  <c r="K22" i="1"/>
  <c r="G10" i="2"/>
  <c r="I22" i="1"/>
  <c r="G11" i="2"/>
  <c r="I23" i="1" s="1"/>
  <c r="I11" i="2"/>
  <c r="J23" i="1" s="1"/>
  <c r="K11" i="2"/>
  <c r="K23" i="1" s="1"/>
  <c r="G12" i="2"/>
  <c r="I24" i="1" s="1"/>
  <c r="I12" i="2"/>
  <c r="J24" i="1" s="1"/>
  <c r="K12" i="2"/>
  <c r="H29" i="3" l="1"/>
  <c r="J29" i="3" s="1"/>
  <c r="L29" i="3" s="1"/>
  <c r="G29" i="3"/>
  <c r="F29" i="3"/>
  <c r="F11" i="3"/>
  <c r="G11" i="3"/>
  <c r="H11" i="3"/>
  <c r="J5" i="3"/>
  <c r="L5" i="3" s="1"/>
  <c r="F10" i="3"/>
  <c r="G10" i="3"/>
  <c r="H10" i="3"/>
  <c r="F7" i="3"/>
  <c r="J7" i="3" s="1"/>
  <c r="L7" i="3" s="1"/>
  <c r="G7" i="3"/>
  <c r="H7" i="3"/>
  <c r="F23" i="3"/>
  <c r="G23" i="3"/>
  <c r="H23" i="3"/>
  <c r="F27" i="3"/>
  <c r="G27" i="3"/>
  <c r="H27" i="3"/>
  <c r="H12" i="3"/>
  <c r="F12" i="3"/>
  <c r="G12" i="3"/>
  <c r="J12" i="3" s="1"/>
  <c r="L12" i="3" s="1"/>
  <c r="F6" i="3"/>
  <c r="G6" i="3"/>
  <c r="H6" i="3"/>
  <c r="F4" i="3"/>
  <c r="G4" i="3"/>
  <c r="H4" i="3"/>
  <c r="K50" i="1"/>
  <c r="K60" i="1"/>
  <c r="D25" i="3"/>
  <c r="D8" i="3"/>
  <c r="K24" i="1"/>
  <c r="K13" i="2"/>
  <c r="G13" i="2"/>
  <c r="I25" i="1"/>
  <c r="I13" i="2"/>
  <c r="J25" i="1" s="1"/>
  <c r="H8" i="3" l="1"/>
  <c r="F8" i="3"/>
  <c r="J8" i="3" s="1"/>
  <c r="L8" i="3" s="1"/>
  <c r="G8" i="3"/>
  <c r="J4" i="3"/>
  <c r="L4" i="3" s="1"/>
  <c r="J10" i="3"/>
  <c r="L10" i="3" s="1"/>
  <c r="J11" i="3"/>
  <c r="L11" i="3" s="1"/>
  <c r="H25" i="3"/>
  <c r="G25" i="3"/>
  <c r="F25" i="3"/>
  <c r="J6" i="3"/>
  <c r="L6" i="3" s="1"/>
  <c r="J27" i="3"/>
  <c r="L27" i="3" s="1"/>
  <c r="J23" i="3"/>
  <c r="L23" i="3" s="1"/>
  <c r="K25" i="1"/>
  <c r="K14" i="2"/>
  <c r="K26" i="1" s="1"/>
  <c r="G14" i="2"/>
  <c r="I26" i="1" s="1"/>
  <c r="I14" i="2"/>
  <c r="J26" i="1" s="1"/>
  <c r="I15" i="2"/>
  <c r="J27" i="1" s="1"/>
  <c r="K15" i="2"/>
  <c r="K27" i="1" s="1"/>
  <c r="K30" i="1" s="1"/>
  <c r="G15" i="2"/>
  <c r="I27" i="1" s="1"/>
  <c r="I30" i="1" l="1"/>
  <c r="I61" i="1" s="1"/>
  <c r="L30" i="3"/>
  <c r="L13" i="3"/>
  <c r="J30" i="1"/>
  <c r="J25" i="3"/>
  <c r="L25" i="3" s="1"/>
  <c r="J40" i="1"/>
  <c r="J43" i="1" s="1"/>
  <c r="J44" i="1" s="1"/>
  <c r="J56" i="1" s="1"/>
  <c r="J61" i="1"/>
  <c r="K40" i="1"/>
  <c r="K43" i="1" s="1"/>
  <c r="K44" i="1" s="1"/>
  <c r="K61" i="1"/>
  <c r="M30" i="1"/>
  <c r="K48" i="1" l="1"/>
  <c r="I48" i="1"/>
  <c r="J48" i="1"/>
  <c r="J52" i="1" s="1"/>
  <c r="J54" i="1" s="1"/>
  <c r="J62" i="1"/>
  <c r="I40" i="1"/>
  <c r="I43" i="1" s="1"/>
  <c r="I44" i="1" s="1"/>
  <c r="I62" i="1" s="1"/>
  <c r="I49" i="1"/>
  <c r="J49" i="1"/>
  <c r="K49" i="1"/>
  <c r="K52" i="1" s="1"/>
  <c r="K54" i="1" s="1"/>
  <c r="I56" i="1"/>
  <c r="K56" i="1"/>
  <c r="K62" i="1"/>
  <c r="M40" i="1"/>
  <c r="M43" i="1" s="1"/>
  <c r="M44" i="1" s="1"/>
  <c r="M62" i="1" s="1"/>
  <c r="J57" i="1" l="1"/>
  <c r="J63" i="1"/>
  <c r="I52" i="1"/>
  <c r="I54" i="1" s="1"/>
  <c r="M54" i="1"/>
  <c r="M63" i="1" s="1"/>
  <c r="M56" i="1"/>
  <c r="K57" i="1"/>
  <c r="K63" i="1"/>
  <c r="I63" i="1" l="1"/>
  <c r="I57" i="1"/>
  <c r="M57" i="1"/>
</calcChain>
</file>

<file path=xl/sharedStrings.xml><?xml version="1.0" encoding="utf-8"?>
<sst xmlns="http://schemas.openxmlformats.org/spreadsheetml/2006/main" count="234" uniqueCount="175">
  <si>
    <t>PRICE PER</t>
  </si>
  <si>
    <t>YOUR</t>
  </si>
  <si>
    <t>ITEM</t>
  </si>
  <si>
    <t>BUDGET</t>
  </si>
  <si>
    <t>RECEIPTS</t>
  </si>
  <si>
    <t>TOTAL RECEIPTS</t>
  </si>
  <si>
    <t>Variable Costs</t>
  </si>
  <si>
    <t>Corn</t>
  </si>
  <si>
    <t>Corn Silage</t>
  </si>
  <si>
    <t>TOTAL FEED COSTS</t>
  </si>
  <si>
    <t>Other Variable Costs</t>
  </si>
  <si>
    <t>TOTAL OTHER VARIABLE COSTS</t>
  </si>
  <si>
    <t>TOTAL VARIABLE COSTS</t>
  </si>
  <si>
    <t>Fixed Costs</t>
  </si>
  <si>
    <t>TOTAL FIXED COSTS</t>
  </si>
  <si>
    <t>TOTAL COSTS</t>
  </si>
  <si>
    <t>RETURN ABOVE VARIABLE COSTS</t>
  </si>
  <si>
    <t>RETURN ABOVE TOTAL COSTS</t>
  </si>
  <si>
    <t>Item</t>
  </si>
  <si>
    <t>Price</t>
  </si>
  <si>
    <t>Unit</t>
  </si>
  <si>
    <t>Hay Equiv.</t>
  </si>
  <si>
    <t>Management charge is 5 percent of total receipts.</t>
  </si>
  <si>
    <t>/cwt</t>
  </si>
  <si>
    <t>Soybean Meal 48%</t>
  </si>
  <si>
    <t>/ton</t>
  </si>
  <si>
    <t>Heifer Calf</t>
  </si>
  <si>
    <t>Springing Heifer</t>
  </si>
  <si>
    <r>
      <t xml:space="preserve">Bull Calf </t>
    </r>
    <r>
      <rPr>
        <vertAlign val="superscript"/>
        <sz val="12"/>
        <rFont val="CG Times (W1)"/>
        <family val="1"/>
      </rPr>
      <t>4</t>
    </r>
  </si>
  <si>
    <r>
      <t xml:space="preserve">Heifer  </t>
    </r>
    <r>
      <rPr>
        <vertAlign val="superscript"/>
        <sz val="12"/>
        <rFont val="CG Times (W1)"/>
        <family val="1"/>
      </rPr>
      <t>5</t>
    </r>
  </si>
  <si>
    <r>
      <t xml:space="preserve">Cull Cow </t>
    </r>
    <r>
      <rPr>
        <vertAlign val="superscript"/>
        <sz val="12"/>
        <rFont val="CG Times (W1)"/>
        <family val="1"/>
      </rPr>
      <t>6</t>
    </r>
  </si>
  <si>
    <r>
      <t>Feed</t>
    </r>
    <r>
      <rPr>
        <vertAlign val="superscript"/>
        <sz val="12"/>
        <rFont val="CG Times (W1)"/>
        <family val="1"/>
      </rPr>
      <t xml:space="preserve"> 7</t>
    </r>
  </si>
  <si>
    <t>UNIT</t>
  </si>
  <si>
    <t>Forage= 80% Corn Silage and 20% Hay</t>
  </si>
  <si>
    <t>Feed Additives</t>
  </si>
  <si>
    <t xml:space="preserve">Bull calf receipts assume that 0.45  bulls are sold per cow per year.  The 0.45 is based on a 13 month calving interval, a 2 </t>
  </si>
  <si>
    <t xml:space="preserve">percent death loss, and 50 percent of the calf crop (i.e., 0.45 = (12 months in a year / 13 month calving interval) </t>
  </si>
  <si>
    <t>/lb</t>
  </si>
  <si>
    <t>/bu</t>
  </si>
  <si>
    <t>/head</t>
  </si>
  <si>
    <t>/hr</t>
  </si>
  <si>
    <r>
      <t>Milk Sales</t>
    </r>
    <r>
      <rPr>
        <vertAlign val="superscript"/>
        <sz val="12"/>
        <rFont val="CG Times (W1)"/>
        <family val="1"/>
      </rPr>
      <t>3</t>
    </r>
  </si>
  <si>
    <t>hrs.</t>
  </si>
  <si>
    <t>Updated</t>
  </si>
  <si>
    <r>
      <t xml:space="preserve">Bedding </t>
    </r>
    <r>
      <rPr>
        <vertAlign val="superscript"/>
        <sz val="12"/>
        <rFont val="CG Times (W1)"/>
        <family val="1"/>
      </rPr>
      <t>8</t>
    </r>
  </si>
  <si>
    <r>
      <t>Marketing &amp; Hauling Costs</t>
    </r>
    <r>
      <rPr>
        <vertAlign val="superscript"/>
        <sz val="12"/>
        <rFont val="CG Times (W1)"/>
        <family val="1"/>
      </rPr>
      <t>9</t>
    </r>
  </si>
  <si>
    <r>
      <t xml:space="preserve">Purchased replacement heifer </t>
    </r>
    <r>
      <rPr>
        <vertAlign val="superscript"/>
        <sz val="12"/>
        <rFont val="CG Times (W1)"/>
        <family val="1"/>
      </rPr>
      <t>11a</t>
    </r>
  </si>
  <si>
    <r>
      <t xml:space="preserve">Labor Charge </t>
    </r>
    <r>
      <rPr>
        <vertAlign val="superscript"/>
        <sz val="12"/>
        <rFont val="CG Times (W1)"/>
        <family val="1"/>
      </rPr>
      <t>12</t>
    </r>
  </si>
  <si>
    <r>
      <t xml:space="preserve">Building Charge </t>
    </r>
    <r>
      <rPr>
        <vertAlign val="superscript"/>
        <sz val="12"/>
        <rFont val="CG Times (W1)"/>
        <family val="1"/>
      </rPr>
      <t>15</t>
    </r>
  </si>
  <si>
    <r>
      <t>Management Charge</t>
    </r>
    <r>
      <rPr>
        <vertAlign val="superscript"/>
        <sz val="12"/>
        <rFont val="CG Times (W1)"/>
        <family val="1"/>
      </rPr>
      <t>16</t>
    </r>
  </si>
  <si>
    <t>Heifer calf receipts assume that 0.45 heifer calves are sold per cow per year (see footnote 4).</t>
  </si>
  <si>
    <t>Heifer calf prices and springing heifer prices are shown below:</t>
  </si>
  <si>
    <t>(Cooperatives Working Together) program would add an additional assessment per cwt.</t>
  </si>
  <si>
    <t>11a</t>
  </si>
  <si>
    <t xml:space="preserve">springing heifer price (see footnote 5) and the cull cow price (see footnote 6). </t>
  </si>
  <si>
    <r>
      <t xml:space="preserve">Interest &amp; Insurance on Cow </t>
    </r>
    <r>
      <rPr>
        <vertAlign val="superscript"/>
        <sz val="12"/>
        <rFont val="CG Times (W1)"/>
        <family val="1"/>
      </rPr>
      <t>13</t>
    </r>
  </si>
  <si>
    <t>Sand bedding for 305 days used at a rate of 50 lbs per cow per day.  Sand valued at $8 per ton delivered.</t>
  </si>
  <si>
    <t>Part or all of labor may be a variable cost if paid labor varies with cows milked.  Labor is a fixed cost if labor costs do</t>
  </si>
  <si>
    <t>View table on"Feed Costs Calculation" tab for specific calculations</t>
  </si>
  <si>
    <t>not change with cows milked.  Labor charge includes workers compensation, social security, medicare, and fringe benefits.</t>
  </si>
  <si>
    <r>
      <t>2014 DAIRY COW  BUDGET -- LARGE BREED</t>
    </r>
    <r>
      <rPr>
        <b/>
        <vertAlign val="superscript"/>
        <sz val="12"/>
        <rFont val="CG Times (W1)"/>
        <family val="1"/>
      </rPr>
      <t xml:space="preserve"> 1</t>
    </r>
  </si>
  <si>
    <t>Purchase of 0.33 springing heifer based on a 33% culling rate.  Cull rate includes death loss.</t>
  </si>
  <si>
    <t xml:space="preserve">programs.  Additional marketing costs are based on $0.60/cwt milk hauling fee.  Voluntary participation in the CWT </t>
  </si>
  <si>
    <t>Marketing costs for milk include the following assessments: 5 cents/cwt for the Milk Mkt.  Administrator (Federal Order Program),</t>
  </si>
  <si>
    <t>5 cents/cwt for the National Dairy Checkoff program, and 10 cents/cwt for the regional dairy promotion and research checkoff</t>
  </si>
  <si>
    <t xml:space="preserve">Enterprise budget includes the costs of a one cow lactation plus dry period.  </t>
  </si>
  <si>
    <t>accounted for under other variable costs (see footnote 9).  Adjust your planning price to reflect current market conditions</t>
  </si>
  <si>
    <t>consist of any combination of supplemental fat, special trace mineral supplements, direct-fed microbials, etc.</t>
  </si>
  <si>
    <t>and culled animals weighing 1,400 lbs.  Cull cow receipts equal 0.33 x $0.75/lb x 1,400 lbs.</t>
  </si>
  <si>
    <t xml:space="preserve">Dairy cows are presumed to be in the herd for three years.  </t>
  </si>
  <si>
    <r>
      <t>Veterinary &amp; Medicine</t>
    </r>
    <r>
      <rPr>
        <vertAlign val="superscript"/>
        <sz val="12"/>
        <rFont val="CG Times (W1)"/>
      </rPr>
      <t>10</t>
    </r>
    <r>
      <rPr>
        <sz val="12"/>
        <rFont val="CG Times (W1)"/>
        <family val="1"/>
      </rPr>
      <t xml:space="preserve"> </t>
    </r>
  </si>
  <si>
    <r>
      <t>Milk Testing &amp; Registration</t>
    </r>
    <r>
      <rPr>
        <vertAlign val="superscript"/>
        <sz val="12"/>
        <rFont val="CG Times (W1)"/>
      </rPr>
      <t>10</t>
    </r>
  </si>
  <si>
    <t>Based on data collected through The Ohio Farm Financial Summary, FINBIN and professional expertise</t>
  </si>
  <si>
    <r>
      <t>Utilities</t>
    </r>
    <r>
      <rPr>
        <vertAlign val="superscript"/>
        <sz val="12"/>
        <rFont val="CG Times (W1)"/>
      </rPr>
      <t>10</t>
    </r>
  </si>
  <si>
    <r>
      <t>Misc. &amp; Supplies</t>
    </r>
    <r>
      <rPr>
        <vertAlign val="superscript"/>
        <sz val="12"/>
        <rFont val="CG Times (W1)"/>
      </rPr>
      <t>10</t>
    </r>
  </si>
  <si>
    <r>
      <t>Machinery: Fuel &amp; Lube</t>
    </r>
    <r>
      <rPr>
        <vertAlign val="superscript"/>
        <sz val="12"/>
        <rFont val="CG Times (W1)"/>
      </rPr>
      <t>10</t>
    </r>
  </si>
  <si>
    <r>
      <t>Breeding</t>
    </r>
    <r>
      <rPr>
        <vertAlign val="superscript"/>
        <sz val="12"/>
        <rFont val="CG Times (W1)"/>
      </rPr>
      <t>7a</t>
    </r>
  </si>
  <si>
    <t>7a</t>
  </si>
  <si>
    <t>Interest costs are calculated on 50 percent of all variable costs excluding marketing and hauling.</t>
  </si>
  <si>
    <t xml:space="preserve">This cost is based on a 4 percent interest rate and a 0.5% insurance rate.  The cow's value is based on an average of the </t>
  </si>
  <si>
    <t>Buildings</t>
  </si>
  <si>
    <t>Cost</t>
  </si>
  <si>
    <t>Total</t>
  </si>
  <si>
    <t>Head</t>
  </si>
  <si>
    <t>Cost/Head</t>
  </si>
  <si>
    <t>Land</t>
  </si>
  <si>
    <t>Hay Barn</t>
  </si>
  <si>
    <t>Silage Bunker</t>
  </si>
  <si>
    <t>Commodity Shed</t>
  </si>
  <si>
    <t>Milking Parlor</t>
  </si>
  <si>
    <t>Manure Storage</t>
  </si>
  <si>
    <t>Electrical Service and Grading</t>
  </si>
  <si>
    <t>Total Cost/head:</t>
  </si>
  <si>
    <t>Machinery</t>
  </si>
  <si>
    <t>Feed Handling Equipment</t>
  </si>
  <si>
    <t>Stock Trailers</t>
  </si>
  <si>
    <t>Miscellaneous</t>
  </si>
  <si>
    <r>
      <t>Salvage Value</t>
    </r>
    <r>
      <rPr>
        <vertAlign val="superscript"/>
        <sz val="10"/>
        <rFont val="Arial"/>
        <family val="2"/>
      </rPr>
      <t>1</t>
    </r>
  </si>
  <si>
    <r>
      <t>Average Value</t>
    </r>
    <r>
      <rPr>
        <vertAlign val="superscript"/>
        <sz val="9"/>
        <rFont val="Arial"/>
        <family val="2"/>
      </rPr>
      <t>2</t>
    </r>
  </si>
  <si>
    <r>
      <t>Deprec.</t>
    </r>
    <r>
      <rPr>
        <vertAlign val="superscript"/>
        <sz val="9"/>
        <rFont val="Arial"/>
        <family val="2"/>
      </rPr>
      <t>3</t>
    </r>
  </si>
  <si>
    <r>
      <t>Interest</t>
    </r>
    <r>
      <rPr>
        <vertAlign val="superscript"/>
        <sz val="9"/>
        <rFont val="Arial"/>
        <family val="2"/>
      </rPr>
      <t>4</t>
    </r>
  </si>
  <si>
    <r>
      <t>Insurance</t>
    </r>
    <r>
      <rPr>
        <vertAlign val="superscript"/>
        <sz val="9"/>
        <rFont val="Arial"/>
        <family val="2"/>
      </rPr>
      <t>5</t>
    </r>
  </si>
  <si>
    <r>
      <t xml:space="preserve">Property Tax </t>
    </r>
    <r>
      <rPr>
        <vertAlign val="superscript"/>
        <sz val="9"/>
        <rFont val="Arial"/>
        <family val="2"/>
      </rPr>
      <t>6</t>
    </r>
  </si>
  <si>
    <r>
      <t>Repairs</t>
    </r>
    <r>
      <rPr>
        <vertAlign val="superscript"/>
        <sz val="10"/>
        <rFont val="Arial"/>
        <family val="2"/>
      </rPr>
      <t>7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</si>
  <si>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Assumes Salvage Value to be 30% of Cost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</si>
  <si>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Average value is the summation of (Cost plus Salvage Value Plus 1-year Depreciation) divided by 2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</si>
  <si>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>Interest assumes Average Value times 5%</t>
    </r>
  </si>
  <si>
    <r>
      <rPr>
        <vertAlign val="superscript"/>
        <sz val="8"/>
        <rFont val="Arial"/>
        <family val="2"/>
      </rPr>
      <t>7</t>
    </r>
    <r>
      <rPr>
        <sz val="8"/>
        <rFont val="Arial"/>
        <family val="2"/>
      </rPr>
      <t>Repairs assumes New Building Cost times 1%</t>
    </r>
  </si>
  <si>
    <r>
      <t>Housing</t>
    </r>
    <r>
      <rPr>
        <vertAlign val="superscript"/>
        <sz val="9"/>
        <rFont val="Arial"/>
        <family val="2"/>
      </rPr>
      <t>6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</si>
  <si>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Assumes Salvage Value to be 30% of New Cost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</si>
  <si>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Depreciation is cost minus salvage value divided by Useful life which is assumed to be 20 years</t>
    </r>
  </si>
  <si>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>Housing assumes Average Value times 1%</t>
    </r>
  </si>
  <si>
    <r>
      <rPr>
        <vertAlign val="superscript"/>
        <sz val="8"/>
        <rFont val="Arial"/>
        <family val="2"/>
      </rPr>
      <t>7</t>
    </r>
    <r>
      <rPr>
        <sz val="8"/>
        <rFont val="Arial"/>
        <family val="2"/>
      </rPr>
      <t>Repairs assumes New Equipment cost times 2%</t>
    </r>
  </si>
  <si>
    <r>
      <t xml:space="preserve">Machinery and Equipment Charge </t>
    </r>
    <r>
      <rPr>
        <vertAlign val="superscript"/>
        <sz val="12"/>
        <rFont val="CG Times (W1)"/>
        <family val="1"/>
      </rPr>
      <t>14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</si>
  <si>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Depreciation is cost minus salvage value divided by Useful life which is assumed to be 10 years</t>
    </r>
  </si>
  <si>
    <t>See calculations in the "Building and Machinery" tab.</t>
  </si>
  <si>
    <t>Prepared by: Barry Ward, Leader, Production Business Management; Dianne Shoemaker, Extension Field Specialist, Dairy;</t>
  </si>
  <si>
    <t>Maurice Eastridge, Extension Specialist, Dairy Production</t>
  </si>
  <si>
    <t>Detailed Heifer raising costs and feed requirements are stated in the heifer budget.</t>
  </si>
  <si>
    <t>x 0.98 calves born live x 0.50 of calves born are bull calves).  Bull calf price is $100 per head.  Receipts equal 0.45 x $100.</t>
  </si>
  <si>
    <t>Hay Equivalent</t>
  </si>
  <si>
    <r>
      <t>Interest on Operating Capital</t>
    </r>
    <r>
      <rPr>
        <vertAlign val="superscript"/>
        <sz val="12"/>
        <rFont val="CG Times (W1)"/>
        <family val="1"/>
      </rPr>
      <t>11</t>
    </r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</si>
  <si>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>Insurance assumes Average Value times 0.5%</t>
    </r>
  </si>
  <si>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>Property Tax assumes Average Value times 0.5%</t>
    </r>
  </si>
  <si>
    <t>Protein Concentrate Bin</t>
  </si>
  <si>
    <r>
      <t>Tractor &amp; Loader</t>
    </r>
    <r>
      <rPr>
        <vertAlign val="superscript"/>
        <sz val="9"/>
        <rFont val="Arial"/>
        <family val="2"/>
      </rPr>
      <t>8</t>
    </r>
  </si>
  <si>
    <r>
      <t>Trucks</t>
    </r>
    <r>
      <rPr>
        <vertAlign val="superscript"/>
        <sz val="9"/>
        <rFont val="Arial"/>
        <family val="2"/>
      </rPr>
      <t>9</t>
    </r>
  </si>
  <si>
    <r>
      <rPr>
        <vertAlign val="superscript"/>
        <sz val="8"/>
        <rFont val="Arial"/>
        <family val="2"/>
      </rPr>
      <t>8</t>
    </r>
    <r>
      <rPr>
        <sz val="8"/>
        <rFont val="Arial"/>
        <family val="2"/>
      </rPr>
      <t>Tractor &amp; Loader, Stock Trailer are at 50% of New Value (50% of cost allocated to other operations or personal use)</t>
    </r>
  </si>
  <si>
    <r>
      <rPr>
        <vertAlign val="superscript"/>
        <sz val="8"/>
        <rFont val="Arial"/>
        <family val="2"/>
      </rPr>
      <t>9</t>
    </r>
    <r>
      <rPr>
        <sz val="8"/>
        <rFont val="Arial"/>
        <family val="2"/>
      </rPr>
      <t>Truck assumes 50% of $60,000 New Value Pickup (50% of cost allocated to other operations or personal use)</t>
    </r>
  </si>
  <si>
    <t xml:space="preserve">"Milk Sold" equals the average pounds sold per cow over a 12-month period.  This usually represents approximately 95% of the </t>
  </si>
  <si>
    <t>production as reported by the DHIA Rolling Herd Average.</t>
  </si>
  <si>
    <t xml:space="preserve">The milk price is provided as the gross price received per cwt.  Deductions for transportation and market assements are </t>
  </si>
  <si>
    <t xml:space="preserve">Culled animals in good health and condition. Cull cow receipts are based on a 33 percent cull rate, sale price of $75/cwt, </t>
  </si>
  <si>
    <t xml:space="preserve">Feed costs are calculated assuming 5, 15, and 2% losses for hay, corn silage, and other feeds, respectively. </t>
  </si>
  <si>
    <t xml:space="preserve">Feed additives were assumed to be fed to the two highest production levels and cost $0.60/lb.  Feed additives could </t>
  </si>
  <si>
    <t>Based on average of 2.5 services per conception. Includes heat detection, synchronization, semen, and insemination fees</t>
  </si>
  <si>
    <t>Straw for the 60 day dry period used at a rate of 10 lbs per cow per day.  Straw valued at $100 per ton.</t>
  </si>
  <si>
    <r>
      <t>Pounds of Milk Sold Per Cow</t>
    </r>
    <r>
      <rPr>
        <b/>
        <vertAlign val="superscript"/>
        <sz val="12"/>
        <rFont val="CG Times (W1)"/>
      </rPr>
      <t>2</t>
    </r>
  </si>
  <si>
    <t>Free Stall Barns</t>
  </si>
  <si>
    <t>Dry Cow and Calving Facilities</t>
  </si>
  <si>
    <t>Feed Processing Equipment</t>
  </si>
  <si>
    <t>Manure Handling Equipment</t>
  </si>
  <si>
    <t>Herd Size: 600 milking cows (700 total). Farm sells all calves at birth and purchases springing replacement heifers.”</t>
  </si>
  <si>
    <t>TOTAL RECEIPTS PER CWT</t>
  </si>
  <si>
    <t>FEED COSTS PER CWT</t>
  </si>
  <si>
    <t>TOTAL VARIABLE COSTS PER CWT</t>
  </si>
  <si>
    <t>TOTAL COSTS PER CWT</t>
  </si>
  <si>
    <t>Feed Costs Calculations</t>
  </si>
  <si>
    <t>Feed costs were based on 15% of year for dry cow and 85% for lactating cow with 70, 80, and 90 lb/day of milk,</t>
  </si>
  <si>
    <t>Lactating Cow</t>
  </si>
  <si>
    <t>Dry Cow</t>
  </si>
  <si>
    <t>lb/day DM</t>
  </si>
  <si>
    <r>
      <t>Total</t>
    </r>
    <r>
      <rPr>
        <b/>
        <vertAlign val="superscript"/>
        <sz val="10"/>
        <rFont val="CG Times (W1)"/>
      </rPr>
      <t>1</t>
    </r>
  </si>
  <si>
    <r>
      <t>Total</t>
    </r>
    <r>
      <rPr>
        <b/>
        <vertAlign val="superscript"/>
        <sz val="10"/>
        <rFont val="Arial"/>
        <family val="2"/>
      </rPr>
      <t>2</t>
    </r>
  </si>
  <si>
    <t>Soybean Meal, 48%</t>
  </si>
  <si>
    <t>Soybean Meal,Exp</t>
  </si>
  <si>
    <t>Distillers grains</t>
  </si>
  <si>
    <t>Whole Cottonseed</t>
  </si>
  <si>
    <t>Amt/yr</t>
  </si>
  <si>
    <t>Min/vit</t>
  </si>
  <si>
    <t xml:space="preserve">respectively. Example: (21,000/0.95)/335 days = 66 lb/day; 66 x 1.05 for feeding above average = ~ 70 lb/day. </t>
  </si>
  <si>
    <t>Back to Front Page</t>
  </si>
  <si>
    <t>OSU EXTENSION</t>
  </si>
  <si>
    <t>Your Farm</t>
  </si>
  <si>
    <t xml:space="preserve">                    -------------------- milk sold per year ----------------------------</t>
  </si>
  <si>
    <r>
      <rPr>
        <vertAlign val="superscript"/>
        <sz val="10"/>
        <rFont val="CG Times (W1)"/>
      </rPr>
      <t>1</t>
    </r>
    <r>
      <rPr>
        <sz val="10"/>
        <rFont val="CG Times (W1)"/>
        <family val="1"/>
      </rPr>
      <t>Total feed per year on as-fed basis for lactating (85%) and dry (15%) cow combined, assuming a 13-month calving interval.</t>
    </r>
  </si>
  <si>
    <r>
      <rPr>
        <vertAlign val="superscript"/>
        <sz val="10"/>
        <rFont val="CG Times (W1)"/>
      </rPr>
      <t>2</t>
    </r>
    <r>
      <rPr>
        <sz val="10"/>
        <rFont val="CG Times (W1)"/>
        <family val="1"/>
      </rPr>
      <t>Total feed per year on as-fed basis for a dry cow, assuming a 60-day dry period.</t>
    </r>
  </si>
  <si>
    <t>To view one of the example budgets,</t>
  </si>
  <si>
    <t>click on one of the items below:</t>
  </si>
  <si>
    <t>To begin "Your Budget", first enter</t>
  </si>
  <si>
    <t>the "Pounds of Milk Sold Per Cow"</t>
  </si>
  <si>
    <t>Buildings and Machinery</t>
  </si>
  <si>
    <t>in the "Budget" worksheet in M6</t>
  </si>
  <si>
    <t>(CLICK HERE).</t>
  </si>
  <si>
    <t>-------------------------------------------- milk sold per year ----------------------------------------------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</si>
</sst>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&quot;$&quot;#,##0_);[Red]\(&quot;$&quot;#,##0\)"/>
    <numFmt numFmtId="8" formatCode="&quot;$&quot;#,##0.00_);[Red]\(&quot;$&quot;#,##0.00\)"/>
    <numFmt numFmtId="164" formatCode="&quot;$&quot;#,##0\ ;\(&quot;$&quot;#,##0\)"/>
    <numFmt numFmtId="165" formatCode="&quot;$&quot;#,##0.00\ ;\(&quot;$&quot;#,##0.00\)"/>
    <numFmt numFmtId="166" formatCode="&quot;$&quot;#,##0"/>
    <numFmt numFmtId="167" formatCode="0_);[Red]\(0\)"/>
    <numFmt numFmtId="168" formatCode="&quot;$&quot;#,##0.00"/>
    <numFmt numFmtId="169" formatCode="&quot;$&quot;#,##0.0"/>
    <numFmt numFmtId="170" formatCode="0.000"/>
    <numFmt numFmtId="171" formatCode="0.0%"/>
  </numFmts>
  <fonts count="45">
    <font>
      <sz val="10"/>
      <name val="Arial"/>
    </font>
    <font>
      <b/>
      <sz val="18"/>
      <name val="Arial"/>
    </font>
    <font>
      <b/>
      <sz val="12"/>
      <name val="Arial"/>
    </font>
    <font>
      <sz val="12"/>
      <name val="Arial"/>
    </font>
    <font>
      <sz val="10"/>
      <name val="CG Times (W1)"/>
      <family val="1"/>
    </font>
    <font>
      <b/>
      <sz val="12"/>
      <name val="CG Times (W1)"/>
      <family val="1"/>
    </font>
    <font>
      <b/>
      <vertAlign val="superscript"/>
      <sz val="12"/>
      <name val="CG Times (W1)"/>
      <family val="1"/>
    </font>
    <font>
      <sz val="12"/>
      <name val="CG Times (W1)"/>
      <family val="1"/>
    </font>
    <font>
      <b/>
      <sz val="12"/>
      <name val="CG Times"/>
      <family val="1"/>
    </font>
    <font>
      <vertAlign val="superscript"/>
      <sz val="12"/>
      <name val="CG Times (W1)"/>
      <family val="1"/>
    </font>
    <font>
      <vertAlign val="superscript"/>
      <sz val="12"/>
      <name val="Arial"/>
      <family val="2"/>
    </font>
    <font>
      <sz val="10"/>
      <name val="CG Times"/>
      <family val="1"/>
    </font>
    <font>
      <vertAlign val="superscript"/>
      <sz val="10"/>
      <name val="CG Times"/>
      <family val="1"/>
    </font>
    <font>
      <sz val="10"/>
      <name val="Arial"/>
      <family val="2"/>
    </font>
    <font>
      <vertAlign val="superscript"/>
      <sz val="10"/>
      <name val="CG Times (W1)"/>
      <family val="1"/>
    </font>
    <font>
      <sz val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sz val="10"/>
      <name val="CG Times (W1)"/>
      <family val="1"/>
    </font>
    <font>
      <sz val="10"/>
      <name val="Arial"/>
      <family val="2"/>
    </font>
    <font>
      <i/>
      <sz val="10"/>
      <name val="CG Times (W1)"/>
      <family val="1"/>
    </font>
    <font>
      <sz val="10"/>
      <name val="Arial"/>
      <family val="2"/>
    </font>
    <font>
      <sz val="10"/>
      <name val="CG Times"/>
    </font>
    <font>
      <sz val="12"/>
      <name val="CG Times (W1)"/>
      <family val="1"/>
    </font>
    <font>
      <sz val="10"/>
      <name val="CG Times (W1)"/>
      <family val="1"/>
    </font>
    <font>
      <vertAlign val="superscript"/>
      <sz val="10"/>
      <name val="CG Times (W1)"/>
      <family val="1"/>
    </font>
    <font>
      <b/>
      <sz val="10"/>
      <name val="CG Times (W1)"/>
      <family val="1"/>
    </font>
    <font>
      <vertAlign val="superscript"/>
      <sz val="12"/>
      <name val="CG Times (W1)"/>
    </font>
    <font>
      <sz val="10"/>
      <name val="CG Times (W1)"/>
    </font>
    <font>
      <b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b/>
      <vertAlign val="superscript"/>
      <sz val="12"/>
      <name val="CG Times (W1)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  <font>
      <b/>
      <vertAlign val="superscript"/>
      <sz val="10"/>
      <name val="CG Times (W1)"/>
    </font>
    <font>
      <b/>
      <vertAlign val="superscript"/>
      <sz val="10"/>
      <name val="Arial"/>
      <family val="2"/>
    </font>
    <font>
      <vertAlign val="superscript"/>
      <sz val="10"/>
      <name val="CG Times (W1)"/>
    </font>
    <font>
      <b/>
      <sz val="12"/>
      <name val="Arial"/>
      <family val="2"/>
    </font>
    <font>
      <sz val="10"/>
      <name val="Cambria"/>
      <family val="1"/>
    </font>
    <font>
      <sz val="10"/>
      <name val="Cambria"/>
      <family val="1"/>
      <scheme val="major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" fillId="0" borderId="1" applyNumberFormat="0" applyFont="0" applyFill="0" applyAlignment="0" applyProtection="0"/>
    <xf numFmtId="0" fontId="37" fillId="0" borderId="0" applyNumberFormat="0" applyFill="0" applyBorder="0" applyAlignment="0" applyProtection="0"/>
  </cellStyleXfs>
  <cellXfs count="247">
    <xf numFmtId="0" fontId="0" fillId="0" borderId="0" xfId="0"/>
    <xf numFmtId="0" fontId="0" fillId="0" borderId="0" xfId="0" applyFill="1"/>
    <xf numFmtId="0" fontId="4" fillId="0" borderId="0" xfId="0" applyFont="1"/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>
      <alignment vertical="center"/>
    </xf>
    <xf numFmtId="2" fontId="0" fillId="0" borderId="0" xfId="0" applyNumberFormat="1"/>
    <xf numFmtId="166" fontId="0" fillId="0" borderId="0" xfId="0" applyNumberFormat="1"/>
    <xf numFmtId="0" fontId="3" fillId="0" borderId="0" xfId="0" applyFont="1" applyFill="1"/>
    <xf numFmtId="0" fontId="7" fillId="0" borderId="0" xfId="0" applyFont="1"/>
    <xf numFmtId="0" fontId="7" fillId="0" borderId="0" xfId="0" applyFont="1" applyProtection="1">
      <protection locked="0"/>
    </xf>
    <xf numFmtId="0" fontId="5" fillId="0" borderId="0" xfId="0" applyFont="1"/>
    <xf numFmtId="0" fontId="7" fillId="0" borderId="0" xfId="0" applyFont="1" applyBorder="1"/>
    <xf numFmtId="0" fontId="3" fillId="0" borderId="0" xfId="0" applyFont="1"/>
    <xf numFmtId="0" fontId="7" fillId="0" borderId="2" xfId="0" applyFont="1" applyBorder="1"/>
    <xf numFmtId="0" fontId="7" fillId="0" borderId="2" xfId="0" applyFont="1" applyBorder="1" applyProtection="1">
      <protection locked="0"/>
    </xf>
    <xf numFmtId="2" fontId="7" fillId="0" borderId="0" xfId="0" applyNumberFormat="1" applyFont="1"/>
    <xf numFmtId="1" fontId="7" fillId="0" borderId="0" xfId="0" applyNumberFormat="1" applyFont="1"/>
    <xf numFmtId="2" fontId="7" fillId="0" borderId="2" xfId="0" applyNumberFormat="1" applyFont="1" applyBorder="1"/>
    <xf numFmtId="3" fontId="7" fillId="0" borderId="0" xfId="0" applyNumberFormat="1" applyFont="1"/>
    <xf numFmtId="3" fontId="7" fillId="0" borderId="3" xfId="0" applyNumberFormat="1" applyFont="1" applyBorder="1"/>
    <xf numFmtId="0" fontId="7" fillId="0" borderId="3" xfId="0" applyFont="1" applyBorder="1"/>
    <xf numFmtId="0" fontId="7" fillId="0" borderId="4" xfId="0" applyFont="1" applyBorder="1"/>
    <xf numFmtId="1" fontId="7" fillId="0" borderId="3" xfId="0" applyNumberFormat="1" applyFont="1" applyBorder="1"/>
    <xf numFmtId="2" fontId="3" fillId="0" borderId="0" xfId="0" applyNumberFormat="1" applyFont="1"/>
    <xf numFmtId="166" fontId="7" fillId="0" borderId="0" xfId="0" applyNumberFormat="1" applyFont="1"/>
    <xf numFmtId="166" fontId="3" fillId="0" borderId="0" xfId="0" applyNumberFormat="1" applyFont="1"/>
    <xf numFmtId="167" fontId="7" fillId="0" borderId="0" xfId="0" applyNumberFormat="1" applyFont="1"/>
    <xf numFmtId="0" fontId="7" fillId="0" borderId="0" xfId="0" applyFont="1" applyAlignment="1">
      <alignment vertical="center"/>
    </xf>
    <xf numFmtId="0" fontId="7" fillId="0" borderId="0" xfId="0" applyFont="1" applyAlignment="1" applyProtection="1">
      <alignment vertical="center"/>
      <protection locked="0"/>
    </xf>
    <xf numFmtId="2" fontId="3" fillId="0" borderId="0" xfId="0" applyNumberFormat="1" applyFont="1" applyFill="1"/>
    <xf numFmtId="166" fontId="3" fillId="0" borderId="0" xfId="0" applyNumberFormat="1" applyFont="1" applyFill="1"/>
    <xf numFmtId="0" fontId="3" fillId="0" borderId="0" xfId="0" applyFont="1" applyAlignment="1">
      <alignment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Fill="1" applyAlignment="1">
      <alignment vertical="center"/>
    </xf>
    <xf numFmtId="0" fontId="10" fillId="0" borderId="0" xfId="0" applyFont="1"/>
    <xf numFmtId="0" fontId="11" fillId="0" borderId="0" xfId="0" applyFont="1" applyFill="1"/>
    <xf numFmtId="0" fontId="11" fillId="0" borderId="0" xfId="0" applyFont="1"/>
    <xf numFmtId="0" fontId="12" fillId="0" borderId="0" xfId="0" applyFont="1" applyFill="1"/>
    <xf numFmtId="2" fontId="11" fillId="0" borderId="0" xfId="0" applyNumberFormat="1" applyFont="1"/>
    <xf numFmtId="0" fontId="13" fillId="0" borderId="0" xfId="0" applyFont="1"/>
    <xf numFmtId="0" fontId="14" fillId="0" borderId="0" xfId="0" applyFont="1"/>
    <xf numFmtId="2" fontId="4" fillId="0" borderId="0" xfId="0" applyNumberFormat="1" applyFont="1"/>
    <xf numFmtId="0" fontId="13" fillId="0" borderId="0" xfId="0" applyFont="1" applyFill="1"/>
    <xf numFmtId="0" fontId="15" fillId="0" borderId="0" xfId="0" applyFont="1"/>
    <xf numFmtId="3" fontId="4" fillId="0" borderId="2" xfId="0" applyNumberFormat="1" applyFont="1" applyBorder="1"/>
    <xf numFmtId="3" fontId="4" fillId="0" borderId="0" xfId="0" applyNumberFormat="1" applyFont="1"/>
    <xf numFmtId="1" fontId="4" fillId="0" borderId="0" xfId="0" applyNumberFormat="1" applyFont="1"/>
    <xf numFmtId="166" fontId="4" fillId="0" borderId="0" xfId="0" applyNumberFormat="1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2" fontId="18" fillId="0" borderId="0" xfId="0" applyNumberFormat="1" applyFont="1"/>
    <xf numFmtId="0" fontId="19" fillId="0" borderId="0" xfId="0" applyFont="1" applyFill="1"/>
    <xf numFmtId="0" fontId="19" fillId="0" borderId="0" xfId="0" applyFont="1"/>
    <xf numFmtId="0" fontId="4" fillId="0" borderId="2" xfId="0" applyFont="1" applyBorder="1"/>
    <xf numFmtId="2" fontId="4" fillId="0" borderId="2" xfId="0" applyNumberFormat="1" applyFont="1" applyBorder="1"/>
    <xf numFmtId="2" fontId="4" fillId="0" borderId="6" xfId="0" applyNumberFormat="1" applyFont="1" applyBorder="1"/>
    <xf numFmtId="2" fontId="20" fillId="0" borderId="0" xfId="0" applyNumberFormat="1" applyFont="1" applyAlignment="1">
      <alignment horizontal="right"/>
    </xf>
    <xf numFmtId="0" fontId="21" fillId="0" borderId="0" xfId="0" applyFont="1" applyFill="1"/>
    <xf numFmtId="0" fontId="21" fillId="0" borderId="0" xfId="0" applyFont="1"/>
    <xf numFmtId="3" fontId="20" fillId="0" borderId="0" xfId="0" applyNumberFormat="1" applyFont="1" applyAlignment="1">
      <alignment horizontal="right"/>
    </xf>
    <xf numFmtId="0" fontId="20" fillId="0" borderId="0" xfId="0" applyFont="1" applyAlignment="1">
      <alignment horizontal="right"/>
    </xf>
    <xf numFmtId="1" fontId="4" fillId="0" borderId="6" xfId="0" applyNumberFormat="1" applyFont="1" applyBorder="1"/>
    <xf numFmtId="0" fontId="20" fillId="0" borderId="0" xfId="0" applyFont="1"/>
    <xf numFmtId="2" fontId="11" fillId="0" borderId="0" xfId="0" applyNumberFormat="1" applyFont="1" applyFill="1" applyProtection="1">
      <protection locked="0"/>
    </xf>
    <xf numFmtId="0" fontId="12" fillId="0" borderId="0" xfId="0" applyFont="1"/>
    <xf numFmtId="2" fontId="11" fillId="0" borderId="0" xfId="0" applyNumberFormat="1" applyFont="1" applyProtection="1">
      <protection locked="0"/>
    </xf>
    <xf numFmtId="0" fontId="13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22" fillId="0" borderId="0" xfId="0" applyFont="1"/>
    <xf numFmtId="164" fontId="7" fillId="0" borderId="0" xfId="0" applyNumberFormat="1" applyFont="1"/>
    <xf numFmtId="1" fontId="4" fillId="0" borderId="7" xfId="0" applyNumberFormat="1" applyFont="1" applyBorder="1"/>
    <xf numFmtId="0" fontId="22" fillId="0" borderId="0" xfId="0" applyNumberFormat="1" applyFont="1"/>
    <xf numFmtId="0" fontId="23" fillId="0" borderId="0" xfId="0" applyFont="1"/>
    <xf numFmtId="2" fontId="23" fillId="0" borderId="0" xfId="0" applyNumberFormat="1" applyFont="1"/>
    <xf numFmtId="0" fontId="24" fillId="0" borderId="0" xfId="0" applyFont="1"/>
    <xf numFmtId="0" fontId="7" fillId="2" borderId="0" xfId="0" applyFont="1" applyFill="1"/>
    <xf numFmtId="1" fontId="7" fillId="2" borderId="0" xfId="0" applyNumberFormat="1" applyFont="1" applyFill="1"/>
    <xf numFmtId="2" fontId="7" fillId="2" borderId="0" xfId="0" applyNumberFormat="1" applyFont="1" applyFill="1" applyProtection="1">
      <protection locked="0"/>
    </xf>
    <xf numFmtId="0" fontId="7" fillId="2" borderId="0" xfId="0" applyFont="1" applyFill="1" applyProtection="1">
      <protection locked="0"/>
    </xf>
    <xf numFmtId="165" fontId="4" fillId="0" borderId="2" xfId="0" applyNumberFormat="1" applyFont="1" applyBorder="1"/>
    <xf numFmtId="0" fontId="18" fillId="0" borderId="0" xfId="0" applyFont="1" applyFill="1" applyBorder="1" applyProtection="1">
      <protection locked="0"/>
    </xf>
    <xf numFmtId="3" fontId="18" fillId="0" borderId="0" xfId="0" applyNumberFormat="1" applyFont="1" applyFill="1" applyBorder="1" applyAlignment="1" applyProtection="1">
      <alignment horizontal="center"/>
      <protection locked="0"/>
    </xf>
    <xf numFmtId="3" fontId="18" fillId="0" borderId="0" xfId="0" applyNumberFormat="1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2" fontId="4" fillId="0" borderId="0" xfId="0" applyNumberFormat="1" applyFont="1" applyFill="1" applyBorder="1" applyProtection="1">
      <protection locked="0"/>
    </xf>
    <xf numFmtId="165" fontId="4" fillId="0" borderId="0" xfId="0" applyNumberFormat="1" applyFont="1" applyFill="1" applyBorder="1" applyProtection="1">
      <protection locked="0"/>
    </xf>
    <xf numFmtId="2" fontId="20" fillId="0" borderId="0" xfId="0" applyNumberFormat="1" applyFont="1" applyFill="1" applyBorder="1" applyAlignment="1" applyProtection="1">
      <alignment horizontal="right"/>
      <protection locked="0"/>
    </xf>
    <xf numFmtId="1" fontId="4" fillId="0" borderId="0" xfId="0" applyNumberFormat="1" applyFont="1" applyFill="1" applyBorder="1" applyProtection="1">
      <protection locked="0"/>
    </xf>
    <xf numFmtId="1" fontId="20" fillId="0" borderId="0" xfId="0" applyNumberFormat="1" applyFont="1" applyFill="1" applyBorder="1" applyAlignment="1" applyProtection="1">
      <alignment horizontal="right"/>
      <protection locked="0"/>
    </xf>
    <xf numFmtId="3" fontId="20" fillId="0" borderId="0" xfId="0" applyNumberFormat="1" applyFont="1" applyFill="1" applyBorder="1" applyAlignment="1" applyProtection="1">
      <alignment horizontal="right"/>
      <protection locked="0"/>
    </xf>
    <xf numFmtId="0" fontId="20" fillId="0" borderId="0" xfId="0" applyFont="1" applyFill="1" applyBorder="1" applyAlignment="1" applyProtection="1">
      <alignment horizontal="right"/>
      <protection locked="0"/>
    </xf>
    <xf numFmtId="1" fontId="20" fillId="0" borderId="0" xfId="0" applyNumberFormat="1" applyFont="1" applyFill="1" applyBorder="1" applyProtection="1">
      <protection locked="0"/>
    </xf>
    <xf numFmtId="0" fontId="20" fillId="0" borderId="0" xfId="0" applyFont="1" applyFill="1" applyBorder="1" applyProtection="1">
      <protection locked="0"/>
    </xf>
    <xf numFmtId="0" fontId="25" fillId="0" borderId="0" xfId="0" applyFont="1"/>
    <xf numFmtId="0" fontId="26" fillId="0" borderId="0" xfId="0" applyFont="1"/>
    <xf numFmtId="0" fontId="7" fillId="2" borderId="0" xfId="0" quotePrefix="1" applyFont="1" applyFill="1"/>
    <xf numFmtId="0" fontId="7" fillId="0" borderId="0" xfId="0" applyFont="1" applyFill="1"/>
    <xf numFmtId="0" fontId="23" fillId="0" borderId="0" xfId="0" applyFont="1" applyFill="1"/>
    <xf numFmtId="0" fontId="7" fillId="0" borderId="0" xfId="0" applyFont="1" applyFill="1" applyProtection="1">
      <protection locked="0"/>
    </xf>
    <xf numFmtId="1" fontId="7" fillId="0" borderId="0" xfId="0" applyNumberFormat="1" applyFont="1" applyBorder="1"/>
    <xf numFmtId="1" fontId="7" fillId="0" borderId="3" xfId="0" applyNumberFormat="1" applyFont="1" applyFill="1" applyBorder="1"/>
    <xf numFmtId="3" fontId="7" fillId="0" borderId="0" xfId="0" applyNumberFormat="1" applyFont="1" applyFill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3" fontId="4" fillId="0" borderId="0" xfId="0" applyNumberFormat="1" applyFont="1" applyBorder="1"/>
    <xf numFmtId="14" fontId="18" fillId="0" borderId="0" xfId="0" applyNumberFormat="1" applyFont="1"/>
    <xf numFmtId="0" fontId="16" fillId="0" borderId="0" xfId="0" applyFont="1" applyAlignment="1">
      <alignment horizontal="right"/>
    </xf>
    <xf numFmtId="3" fontId="0" fillId="0" borderId="0" xfId="0" applyNumberFormat="1"/>
    <xf numFmtId="170" fontId="0" fillId="0" borderId="0" xfId="0" applyNumberFormat="1"/>
    <xf numFmtId="170" fontId="13" fillId="0" borderId="0" xfId="0" applyNumberFormat="1" applyFont="1"/>
    <xf numFmtId="0" fontId="29" fillId="0" borderId="0" xfId="0" applyFont="1" applyAlignment="1">
      <alignment horizontal="center"/>
    </xf>
    <xf numFmtId="0" fontId="0" fillId="0" borderId="2" xfId="0" applyBorder="1"/>
    <xf numFmtId="0" fontId="13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 wrapText="1"/>
    </xf>
    <xf numFmtId="0" fontId="30" fillId="0" borderId="2" xfId="0" applyFont="1" applyBorder="1" applyAlignment="1">
      <alignment horizontal="center" wrapText="1"/>
    </xf>
    <xf numFmtId="0" fontId="30" fillId="0" borderId="2" xfId="0" applyFont="1" applyFill="1" applyBorder="1" applyAlignment="1">
      <alignment horizontal="center" wrapText="1"/>
    </xf>
    <xf numFmtId="0" fontId="13" fillId="0" borderId="0" xfId="0" applyFont="1" applyBorder="1"/>
    <xf numFmtId="0" fontId="30" fillId="0" borderId="0" xfId="0" applyFont="1" applyFill="1" applyBorder="1" applyAlignment="1">
      <alignment wrapText="1"/>
    </xf>
    <xf numFmtId="6" fontId="30" fillId="0" borderId="0" xfId="0" applyNumberFormat="1" applyFont="1" applyFill="1" applyBorder="1"/>
    <xf numFmtId="6" fontId="30" fillId="0" borderId="0" xfId="0" applyNumberFormat="1" applyFont="1" applyFill="1" applyBorder="1" applyAlignment="1">
      <alignment horizontal="right"/>
    </xf>
    <xf numFmtId="168" fontId="30" fillId="0" borderId="0" xfId="0" applyNumberFormat="1" applyFont="1" applyFill="1" applyBorder="1" applyAlignment="1">
      <alignment horizontal="right"/>
    </xf>
    <xf numFmtId="168" fontId="0" fillId="0" borderId="0" xfId="0" applyNumberFormat="1" applyFill="1" applyBorder="1" applyAlignment="1">
      <alignment horizontal="right"/>
    </xf>
    <xf numFmtId="168" fontId="0" fillId="0" borderId="0" xfId="0" applyNumberFormat="1"/>
    <xf numFmtId="8" fontId="0" fillId="0" borderId="0" xfId="0" applyNumberFormat="1"/>
    <xf numFmtId="8" fontId="0" fillId="0" borderId="5" xfId="0" applyNumberFormat="1" applyBorder="1"/>
    <xf numFmtId="168" fontId="29" fillId="4" borderId="0" xfId="0" applyNumberFormat="1" applyFont="1" applyFill="1"/>
    <xf numFmtId="0" fontId="13" fillId="3" borderId="0" xfId="0" applyFont="1" applyFill="1"/>
    <xf numFmtId="168" fontId="29" fillId="4" borderId="5" xfId="0" applyNumberFormat="1" applyFont="1" applyFill="1" applyBorder="1"/>
    <xf numFmtId="8" fontId="0" fillId="0" borderId="0" xfId="0" applyNumberFormat="1" applyBorder="1"/>
    <xf numFmtId="168" fontId="29" fillId="4" borderId="0" xfId="0" applyNumberFormat="1" applyFont="1" applyFill="1" applyBorder="1"/>
    <xf numFmtId="8" fontId="0" fillId="0" borderId="2" xfId="0" applyNumberFormat="1" applyBorder="1"/>
    <xf numFmtId="0" fontId="32" fillId="0" borderId="5" xfId="0" applyFont="1" applyBorder="1"/>
    <xf numFmtId="0" fontId="0" fillId="0" borderId="5" xfId="0" applyBorder="1"/>
    <xf numFmtId="0" fontId="29" fillId="0" borderId="5" xfId="0" applyFont="1" applyBorder="1"/>
    <xf numFmtId="0" fontId="0" fillId="0" borderId="0" xfId="0" applyBorder="1"/>
    <xf numFmtId="0" fontId="13" fillId="0" borderId="5" xfId="0" applyFont="1" applyBorder="1"/>
    <xf numFmtId="168" fontId="29" fillId="5" borderId="5" xfId="0" applyNumberFormat="1" applyFont="1" applyFill="1" applyBorder="1"/>
    <xf numFmtId="0" fontId="32" fillId="0" borderId="0" xfId="0" applyFont="1" applyFill="1" applyBorder="1"/>
    <xf numFmtId="0" fontId="29" fillId="0" borderId="0" xfId="0" applyFont="1" applyBorder="1"/>
    <xf numFmtId="0" fontId="13" fillId="0" borderId="0" xfId="0" applyFont="1" applyFill="1" applyBorder="1"/>
    <xf numFmtId="2" fontId="0" fillId="0" borderId="0" xfId="0" applyNumberFormat="1" applyFill="1"/>
    <xf numFmtId="2" fontId="29" fillId="0" borderId="0" xfId="0" applyNumberFormat="1" applyFont="1" applyFill="1"/>
    <xf numFmtId="0" fontId="32" fillId="0" borderId="0" xfId="0" applyFont="1" applyBorder="1"/>
    <xf numFmtId="0" fontId="34" fillId="0" borderId="0" xfId="0" applyFont="1" applyFill="1" applyBorder="1"/>
    <xf numFmtId="0" fontId="13" fillId="0" borderId="2" xfId="0" applyFont="1" applyBorder="1"/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horizontal="center" wrapText="1"/>
    </xf>
    <xf numFmtId="0" fontId="30" fillId="0" borderId="5" xfId="0" applyFont="1" applyBorder="1"/>
    <xf numFmtId="168" fontId="30" fillId="0" borderId="5" xfId="0" applyNumberFormat="1" applyFont="1" applyBorder="1"/>
    <xf numFmtId="168" fontId="0" fillId="0" borderId="5" xfId="0" applyNumberFormat="1" applyBorder="1"/>
    <xf numFmtId="169" fontId="29" fillId="4" borderId="5" xfId="0" applyNumberFormat="1" applyFont="1" applyFill="1" applyBorder="1"/>
    <xf numFmtId="0" fontId="0" fillId="3" borderId="5" xfId="0" applyFill="1" applyBorder="1"/>
    <xf numFmtId="0" fontId="30" fillId="0" borderId="0" xfId="0" applyFont="1" applyBorder="1"/>
    <xf numFmtId="168" fontId="30" fillId="0" borderId="0" xfId="0" applyNumberFormat="1" applyFont="1" applyBorder="1"/>
    <xf numFmtId="168" fontId="0" fillId="0" borderId="0" xfId="0" applyNumberFormat="1" applyBorder="1"/>
    <xf numFmtId="169" fontId="29" fillId="4" borderId="0" xfId="0" applyNumberFormat="1" applyFont="1" applyFill="1" applyBorder="1"/>
    <xf numFmtId="0" fontId="0" fillId="3" borderId="0" xfId="0" applyFill="1" applyBorder="1"/>
    <xf numFmtId="0" fontId="30" fillId="0" borderId="2" xfId="0" applyFont="1" applyBorder="1"/>
    <xf numFmtId="168" fontId="30" fillId="0" borderId="2" xfId="0" applyNumberFormat="1" applyFont="1" applyBorder="1"/>
    <xf numFmtId="168" fontId="0" fillId="0" borderId="2" xfId="0" applyNumberFormat="1" applyBorder="1"/>
    <xf numFmtId="169" fontId="29" fillId="4" borderId="2" xfId="0" applyNumberFormat="1" applyFont="1" applyFill="1" applyBorder="1"/>
    <xf numFmtId="0" fontId="0" fillId="3" borderId="2" xfId="0" applyFill="1" applyBorder="1"/>
    <xf numFmtId="168" fontId="29" fillId="4" borderId="2" xfId="0" applyNumberFormat="1" applyFont="1" applyFill="1" applyBorder="1"/>
    <xf numFmtId="0" fontId="30" fillId="0" borderId="0" xfId="0" applyFont="1"/>
    <xf numFmtId="0" fontId="29" fillId="0" borderId="0" xfId="0" applyFont="1"/>
    <xf numFmtId="168" fontId="29" fillId="5" borderId="0" xfId="0" applyNumberFormat="1" applyFont="1" applyFill="1" applyBorder="1"/>
    <xf numFmtId="0" fontId="34" fillId="0" borderId="0" xfId="0" applyFont="1"/>
    <xf numFmtId="0" fontId="32" fillId="0" borderId="0" xfId="0" applyFont="1"/>
    <xf numFmtId="0" fontId="35" fillId="0" borderId="0" xfId="0" applyFont="1"/>
    <xf numFmtId="10" fontId="30" fillId="0" borderId="0" xfId="0" applyNumberFormat="1" applyFont="1" applyFill="1" applyBorder="1" applyAlignment="1">
      <alignment wrapText="1"/>
    </xf>
    <xf numFmtId="10" fontId="0" fillId="0" borderId="0" xfId="0" applyNumberFormat="1"/>
    <xf numFmtId="166" fontId="7" fillId="0" borderId="0" xfId="0" applyNumberFormat="1" applyFont="1" applyFill="1" applyBorder="1" applyProtection="1">
      <protection locked="0"/>
    </xf>
    <xf numFmtId="165" fontId="4" fillId="0" borderId="0" xfId="0" applyNumberFormat="1" applyFont="1" applyFill="1"/>
    <xf numFmtId="1" fontId="7" fillId="0" borderId="0" xfId="0" applyNumberFormat="1" applyFont="1" applyFill="1"/>
    <xf numFmtId="168" fontId="13" fillId="0" borderId="0" xfId="0" applyNumberFormat="1" applyFont="1" applyFill="1" applyBorder="1" applyAlignment="1">
      <alignment horizontal="right"/>
    </xf>
    <xf numFmtId="168" fontId="13" fillId="0" borderId="0" xfId="0" applyNumberFormat="1" applyFont="1"/>
    <xf numFmtId="8" fontId="13" fillId="0" borderId="0" xfId="0" applyNumberFormat="1" applyFont="1"/>
    <xf numFmtId="8" fontId="13" fillId="0" borderId="0" xfId="0" applyNumberFormat="1" applyFont="1" applyBorder="1"/>
    <xf numFmtId="0" fontId="7" fillId="0" borderId="5" xfId="0" applyFont="1" applyBorder="1"/>
    <xf numFmtId="0" fontId="5" fillId="0" borderId="8" xfId="0" applyFont="1" applyBorder="1"/>
    <xf numFmtId="0" fontId="38" fillId="0" borderId="0" xfId="8" applyFont="1"/>
    <xf numFmtId="0" fontId="0" fillId="0" borderId="9" xfId="0" applyBorder="1"/>
    <xf numFmtId="3" fontId="18" fillId="0" borderId="9" xfId="0" applyNumberFormat="1" applyFont="1" applyBorder="1" applyAlignment="1">
      <alignment horizontal="center"/>
    </xf>
    <xf numFmtId="0" fontId="18" fillId="0" borderId="9" xfId="0" applyFont="1" applyBorder="1"/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28" fillId="0" borderId="0" xfId="0" applyFont="1" applyFill="1" applyBorder="1"/>
    <xf numFmtId="1" fontId="4" fillId="0" borderId="11" xfId="0" applyNumberFormat="1" applyFont="1" applyBorder="1" applyAlignment="1"/>
    <xf numFmtId="1" fontId="20" fillId="0" borderId="11" xfId="0" applyNumberFormat="1" applyFont="1" applyBorder="1" applyAlignment="1"/>
    <xf numFmtId="0" fontId="0" fillId="0" borderId="11" xfId="0" applyBorder="1" applyAlignment="1"/>
    <xf numFmtId="1" fontId="4" fillId="0" borderId="11" xfId="0" applyNumberFormat="1" applyFont="1" applyBorder="1" applyAlignment="1">
      <alignment horizontal="center"/>
    </xf>
    <xf numFmtId="3" fontId="5" fillId="7" borderId="0" xfId="0" applyNumberFormat="1" applyFont="1" applyFill="1"/>
    <xf numFmtId="3" fontId="8" fillId="7" borderId="0" xfId="0" applyNumberFormat="1" applyFont="1" applyFill="1"/>
    <xf numFmtId="165" fontId="7" fillId="7" borderId="0" xfId="0" applyNumberFormat="1" applyFont="1" applyFill="1" applyProtection="1">
      <protection locked="0"/>
    </xf>
    <xf numFmtId="166" fontId="7" fillId="7" borderId="0" xfId="0" applyNumberFormat="1" applyFont="1" applyFill="1" applyProtection="1">
      <protection locked="0"/>
    </xf>
    <xf numFmtId="0" fontId="7" fillId="7" borderId="0" xfId="0" applyNumberFormat="1" applyFont="1" applyFill="1" applyProtection="1">
      <protection locked="0"/>
    </xf>
    <xf numFmtId="2" fontId="7" fillId="7" borderId="0" xfId="0" applyNumberFormat="1" applyFont="1" applyFill="1" applyProtection="1">
      <protection locked="0"/>
    </xf>
    <xf numFmtId="0" fontId="7" fillId="7" borderId="0" xfId="0" applyFont="1" applyFill="1"/>
    <xf numFmtId="0" fontId="7" fillId="7" borderId="0" xfId="0" applyFont="1" applyFill="1" applyProtection="1">
      <protection locked="0"/>
    </xf>
    <xf numFmtId="168" fontId="7" fillId="7" borderId="0" xfId="0" applyNumberFormat="1" applyFont="1" applyFill="1" applyProtection="1">
      <protection locked="0"/>
    </xf>
    <xf numFmtId="171" fontId="7" fillId="7" borderId="0" xfId="0" applyNumberFormat="1" applyFont="1" applyFill="1" applyProtection="1">
      <protection locked="0"/>
    </xf>
    <xf numFmtId="2" fontId="23" fillId="7" borderId="0" xfId="0" applyNumberFormat="1" applyFont="1" applyFill="1"/>
    <xf numFmtId="6" fontId="30" fillId="7" borderId="0" xfId="0" applyNumberFormat="1" applyFont="1" applyFill="1" applyBorder="1"/>
    <xf numFmtId="6" fontId="30" fillId="7" borderId="5" xfId="0" applyNumberFormat="1" applyFont="1" applyFill="1" applyBorder="1"/>
    <xf numFmtId="6" fontId="30" fillId="7" borderId="2" xfId="0" applyNumberFormat="1" applyFont="1" applyFill="1" applyBorder="1"/>
    <xf numFmtId="164" fontId="7" fillId="6" borderId="0" xfId="0" applyNumberFormat="1" applyFont="1" applyFill="1"/>
    <xf numFmtId="1" fontId="7" fillId="6" borderId="0" xfId="0" applyNumberFormat="1" applyFont="1" applyFill="1"/>
    <xf numFmtId="3" fontId="7" fillId="6" borderId="0" xfId="0" applyNumberFormat="1" applyFont="1" applyFill="1"/>
    <xf numFmtId="3" fontId="7" fillId="6" borderId="3" xfId="0" applyNumberFormat="1" applyFont="1" applyFill="1" applyBorder="1"/>
    <xf numFmtId="0" fontId="7" fillId="6" borderId="0" xfId="0" applyFont="1" applyFill="1"/>
    <xf numFmtId="0" fontId="7" fillId="8" borderId="4" xfId="0" applyFont="1" applyFill="1" applyBorder="1"/>
    <xf numFmtId="1" fontId="7" fillId="6" borderId="0" xfId="0" applyNumberFormat="1" applyFont="1" applyFill="1" applyBorder="1"/>
    <xf numFmtId="1" fontId="7" fillId="6" borderId="3" xfId="0" applyNumberFormat="1" applyFont="1" applyFill="1" applyBorder="1"/>
    <xf numFmtId="167" fontId="7" fillId="6" borderId="0" xfId="0" applyNumberFormat="1" applyFont="1" applyFill="1"/>
    <xf numFmtId="2" fontId="7" fillId="6" borderId="0" xfId="0" applyNumberFormat="1" applyFont="1" applyFill="1"/>
    <xf numFmtId="1" fontId="7" fillId="7" borderId="0" xfId="0" applyNumberFormat="1" applyFont="1" applyFill="1"/>
    <xf numFmtId="166" fontId="4" fillId="7" borderId="0" xfId="0" applyNumberFormat="1" applyFont="1" applyFill="1"/>
    <xf numFmtId="0" fontId="42" fillId="0" borderId="0" xfId="0" applyFont="1"/>
    <xf numFmtId="0" fontId="44" fillId="7" borderId="2" xfId="0" applyFont="1" applyFill="1" applyBorder="1"/>
    <xf numFmtId="0" fontId="43" fillId="7" borderId="2" xfId="0" applyFont="1" applyFill="1" applyBorder="1"/>
    <xf numFmtId="0" fontId="43" fillId="7" borderId="0" xfId="0" applyFont="1" applyFill="1"/>
    <xf numFmtId="170" fontId="0" fillId="7" borderId="10" xfId="0" applyNumberFormat="1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170" fontId="0" fillId="7" borderId="6" xfId="0" applyNumberFormat="1" applyFill="1" applyBorder="1" applyAlignment="1">
      <alignment horizontal="center"/>
    </xf>
    <xf numFmtId="2" fontId="20" fillId="6" borderId="10" xfId="0" applyNumberFormat="1" applyFont="1" applyFill="1" applyBorder="1" applyAlignment="1">
      <alignment horizontal="center"/>
    </xf>
    <xf numFmtId="1" fontId="20" fillId="6" borderId="10" xfId="0" applyNumberFormat="1" applyFont="1" applyFill="1" applyBorder="1" applyAlignment="1">
      <alignment horizontal="center"/>
    </xf>
    <xf numFmtId="170" fontId="13" fillId="7" borderId="10" xfId="0" applyNumberFormat="1" applyFont="1" applyFill="1" applyBorder="1" applyAlignment="1">
      <alignment horizontal="center"/>
    </xf>
    <xf numFmtId="0" fontId="37" fillId="0" borderId="0" xfId="8"/>
    <xf numFmtId="3" fontId="18" fillId="0" borderId="12" xfId="0" applyNumberFormat="1" applyFont="1" applyBorder="1" applyAlignment="1">
      <alignment horizontal="center"/>
    </xf>
    <xf numFmtId="0" fontId="0" fillId="0" borderId="13" xfId="0" applyBorder="1"/>
    <xf numFmtId="0" fontId="29" fillId="0" borderId="12" xfId="0" applyFont="1" applyBorder="1" applyAlignment="1">
      <alignment horizontal="center"/>
    </xf>
    <xf numFmtId="3" fontId="18" fillId="0" borderId="13" xfId="0" applyNumberFormat="1" applyFont="1" applyBorder="1" applyAlignment="1">
      <alignment horizontal="center"/>
    </xf>
    <xf numFmtId="0" fontId="29" fillId="0" borderId="13" xfId="0" applyFont="1" applyBorder="1" applyAlignment="1">
      <alignment horizontal="center"/>
    </xf>
    <xf numFmtId="0" fontId="13" fillId="0" borderId="9" xfId="0" quotePrefix="1" applyFont="1" applyBorder="1"/>
    <xf numFmtId="0" fontId="5" fillId="0" borderId="5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3" fontId="18" fillId="0" borderId="0" xfId="0" applyNumberFormat="1" applyFont="1" applyFill="1" applyBorder="1" applyAlignment="1" applyProtection="1">
      <alignment horizontal="center"/>
      <protection locked="0"/>
    </xf>
    <xf numFmtId="0" fontId="5" fillId="0" borderId="5" xfId="0" applyFont="1" applyBorder="1" applyAlignment="1">
      <alignment horizontal="center"/>
    </xf>
    <xf numFmtId="2" fontId="7" fillId="0" borderId="5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</cellXfs>
  <cellStyles count="9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Hyperlink" xfId="8" builtinId="8"/>
    <cellStyle name="Normal" xfId="0" builtinId="0"/>
    <cellStyle name="Total" xfId="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9940EA98-0231-48F1-BC17-B4A0B589F5B1}" type="doc">
      <dgm:prSet loTypeId="urn:microsoft.com/office/officeart/2005/8/layout/hProcess3" loCatId="process" qsTypeId="urn:microsoft.com/office/officeart/2005/8/quickstyle/simple1" qsCatId="simple" csTypeId="urn:microsoft.com/office/officeart/2005/8/colors/accent1_2" csCatId="accent1" phldr="1"/>
      <dgm:spPr/>
    </dgm:pt>
    <dgm:pt modelId="{A9FEB4DC-3816-46A1-8FBA-2151F253A6E9}">
      <dgm:prSet phldrT="[Text]"/>
      <dgm:spPr/>
      <dgm:t>
        <a:bodyPr/>
        <a:lstStyle/>
        <a:p>
          <a:r>
            <a:rPr lang="en-US" b="1"/>
            <a:t>Click on one of these spreadsheets to begin</a:t>
          </a:r>
        </a:p>
        <a:p>
          <a:r>
            <a:rPr lang="en-US"/>
            <a:t>(always remember to SAVE your work!)  </a:t>
          </a:r>
        </a:p>
      </dgm:t>
    </dgm:pt>
    <dgm:pt modelId="{A8C451A1-57E0-482E-AC8A-2BCAFED215D6}" type="parTrans" cxnId="{62AEBA6A-D2FB-40A7-9B1E-0C484125CD60}">
      <dgm:prSet/>
      <dgm:spPr/>
      <dgm:t>
        <a:bodyPr/>
        <a:lstStyle/>
        <a:p>
          <a:endParaRPr lang="en-US"/>
        </a:p>
      </dgm:t>
    </dgm:pt>
    <dgm:pt modelId="{041DEF27-E481-4C0B-888D-120113C28A46}" type="sibTrans" cxnId="{62AEBA6A-D2FB-40A7-9B1E-0C484125CD60}">
      <dgm:prSet/>
      <dgm:spPr/>
      <dgm:t>
        <a:bodyPr/>
        <a:lstStyle/>
        <a:p>
          <a:endParaRPr lang="en-US"/>
        </a:p>
      </dgm:t>
    </dgm:pt>
    <dgm:pt modelId="{53D452B7-4509-4E34-9ABB-A185861BD6F5}" type="pres">
      <dgm:prSet presAssocID="{9940EA98-0231-48F1-BC17-B4A0B589F5B1}" presName="Name0" presStyleCnt="0">
        <dgm:presLayoutVars>
          <dgm:dir/>
          <dgm:animLvl val="lvl"/>
          <dgm:resizeHandles val="exact"/>
        </dgm:presLayoutVars>
      </dgm:prSet>
      <dgm:spPr/>
    </dgm:pt>
    <dgm:pt modelId="{7B5CC523-3357-47EF-95F0-56DB8E2FC230}" type="pres">
      <dgm:prSet presAssocID="{9940EA98-0231-48F1-BC17-B4A0B589F5B1}" presName="dummy" presStyleCnt="0"/>
      <dgm:spPr/>
    </dgm:pt>
    <dgm:pt modelId="{815610C4-D920-4F56-9B35-8C0E928A196B}" type="pres">
      <dgm:prSet presAssocID="{9940EA98-0231-48F1-BC17-B4A0B589F5B1}" presName="linH" presStyleCnt="0"/>
      <dgm:spPr/>
    </dgm:pt>
    <dgm:pt modelId="{7C20691F-8854-48F6-AB09-130CFDF5DFCF}" type="pres">
      <dgm:prSet presAssocID="{9940EA98-0231-48F1-BC17-B4A0B589F5B1}" presName="padding1" presStyleCnt="0"/>
      <dgm:spPr/>
    </dgm:pt>
    <dgm:pt modelId="{BC784437-FF01-491B-9CCF-0CCF3CEA65BB}" type="pres">
      <dgm:prSet presAssocID="{A9FEB4DC-3816-46A1-8FBA-2151F253A6E9}" presName="linV" presStyleCnt="0"/>
      <dgm:spPr/>
    </dgm:pt>
    <dgm:pt modelId="{59809730-9C90-42FD-8FBF-D6E5AAD915A4}" type="pres">
      <dgm:prSet presAssocID="{A9FEB4DC-3816-46A1-8FBA-2151F253A6E9}" presName="spVertical1" presStyleCnt="0"/>
      <dgm:spPr/>
    </dgm:pt>
    <dgm:pt modelId="{E8176A36-5B40-4D4F-9488-336A75A13363}" type="pres">
      <dgm:prSet presAssocID="{A9FEB4DC-3816-46A1-8FBA-2151F253A6E9}" presName="parTx" presStyleLbl="revTx" presStyleIdx="0" presStyleCnt="1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4B2EC9B5-0AAE-41AE-B713-824F91FF0753}" type="pres">
      <dgm:prSet presAssocID="{A9FEB4DC-3816-46A1-8FBA-2151F253A6E9}" presName="spVertical2" presStyleCnt="0"/>
      <dgm:spPr/>
    </dgm:pt>
    <dgm:pt modelId="{F541F9B9-9FBF-4EB8-9131-49792B707E4A}" type="pres">
      <dgm:prSet presAssocID="{A9FEB4DC-3816-46A1-8FBA-2151F253A6E9}" presName="spVertical3" presStyleCnt="0"/>
      <dgm:spPr/>
    </dgm:pt>
    <dgm:pt modelId="{94F84DB0-C17B-41D3-90F5-9A3440EA59B5}" type="pres">
      <dgm:prSet presAssocID="{9940EA98-0231-48F1-BC17-B4A0B589F5B1}" presName="padding2" presStyleCnt="0"/>
      <dgm:spPr/>
    </dgm:pt>
    <dgm:pt modelId="{60802BA7-795C-40CF-824F-20BB0E41563A}" type="pres">
      <dgm:prSet presAssocID="{9940EA98-0231-48F1-BC17-B4A0B589F5B1}" presName="negArrow" presStyleCnt="0"/>
      <dgm:spPr/>
    </dgm:pt>
    <dgm:pt modelId="{A8EA297D-1455-4FFD-851A-A20B4F01A2B9}" type="pres">
      <dgm:prSet presAssocID="{9940EA98-0231-48F1-BC17-B4A0B589F5B1}" presName="backgroundArrow" presStyleLbl="node1" presStyleIdx="0" presStyleCnt="1"/>
      <dgm:spPr/>
    </dgm:pt>
  </dgm:ptLst>
  <dgm:cxnLst>
    <dgm:cxn modelId="{62AEBA6A-D2FB-40A7-9B1E-0C484125CD60}" srcId="{9940EA98-0231-48F1-BC17-B4A0B589F5B1}" destId="{A9FEB4DC-3816-46A1-8FBA-2151F253A6E9}" srcOrd="0" destOrd="0" parTransId="{A8C451A1-57E0-482E-AC8A-2BCAFED215D6}" sibTransId="{041DEF27-E481-4C0B-888D-120113C28A46}"/>
    <dgm:cxn modelId="{E364164B-FF65-4C8B-A0A1-32695DABBC3C}" type="presOf" srcId="{A9FEB4DC-3816-46A1-8FBA-2151F253A6E9}" destId="{E8176A36-5B40-4D4F-9488-336A75A13363}" srcOrd="0" destOrd="0" presId="urn:microsoft.com/office/officeart/2005/8/layout/hProcess3"/>
    <dgm:cxn modelId="{3BBA6E2D-31FE-4349-A682-63AEABBA9143}" type="presOf" srcId="{9940EA98-0231-48F1-BC17-B4A0B589F5B1}" destId="{53D452B7-4509-4E34-9ABB-A185861BD6F5}" srcOrd="0" destOrd="0" presId="urn:microsoft.com/office/officeart/2005/8/layout/hProcess3"/>
    <dgm:cxn modelId="{7A7E392D-4429-4779-99A3-990FA2B3D5E5}" type="presParOf" srcId="{53D452B7-4509-4E34-9ABB-A185861BD6F5}" destId="{7B5CC523-3357-47EF-95F0-56DB8E2FC230}" srcOrd="0" destOrd="0" presId="urn:microsoft.com/office/officeart/2005/8/layout/hProcess3"/>
    <dgm:cxn modelId="{1D2DA2DE-0CEE-435E-9220-6A68EE45C549}" type="presParOf" srcId="{53D452B7-4509-4E34-9ABB-A185861BD6F5}" destId="{815610C4-D920-4F56-9B35-8C0E928A196B}" srcOrd="1" destOrd="0" presId="urn:microsoft.com/office/officeart/2005/8/layout/hProcess3"/>
    <dgm:cxn modelId="{4839B63A-0C3E-49F1-A5F8-24AB620A26F5}" type="presParOf" srcId="{815610C4-D920-4F56-9B35-8C0E928A196B}" destId="{7C20691F-8854-48F6-AB09-130CFDF5DFCF}" srcOrd="0" destOrd="0" presId="urn:microsoft.com/office/officeart/2005/8/layout/hProcess3"/>
    <dgm:cxn modelId="{A642CF54-332C-41D3-839F-6D7042E0192F}" type="presParOf" srcId="{815610C4-D920-4F56-9B35-8C0E928A196B}" destId="{BC784437-FF01-491B-9CCF-0CCF3CEA65BB}" srcOrd="1" destOrd="0" presId="urn:microsoft.com/office/officeart/2005/8/layout/hProcess3"/>
    <dgm:cxn modelId="{679AF01C-F0BE-4E88-B67B-5F656FE31693}" type="presParOf" srcId="{BC784437-FF01-491B-9CCF-0CCF3CEA65BB}" destId="{59809730-9C90-42FD-8FBF-D6E5AAD915A4}" srcOrd="0" destOrd="0" presId="urn:microsoft.com/office/officeart/2005/8/layout/hProcess3"/>
    <dgm:cxn modelId="{6189C04D-BBFB-4B58-9A35-D3AF33360C26}" type="presParOf" srcId="{BC784437-FF01-491B-9CCF-0CCF3CEA65BB}" destId="{E8176A36-5B40-4D4F-9488-336A75A13363}" srcOrd="1" destOrd="0" presId="urn:microsoft.com/office/officeart/2005/8/layout/hProcess3"/>
    <dgm:cxn modelId="{2997CD95-3131-41A2-B660-9F5C11BACB61}" type="presParOf" srcId="{BC784437-FF01-491B-9CCF-0CCF3CEA65BB}" destId="{4B2EC9B5-0AAE-41AE-B713-824F91FF0753}" srcOrd="2" destOrd="0" presId="urn:microsoft.com/office/officeart/2005/8/layout/hProcess3"/>
    <dgm:cxn modelId="{182CFCC1-6892-4A81-8F02-18A935BD1466}" type="presParOf" srcId="{BC784437-FF01-491B-9CCF-0CCF3CEA65BB}" destId="{F541F9B9-9FBF-4EB8-9131-49792B707E4A}" srcOrd="3" destOrd="0" presId="urn:microsoft.com/office/officeart/2005/8/layout/hProcess3"/>
    <dgm:cxn modelId="{709DACD0-1F33-40A6-AD4E-37AE62E0B8BE}" type="presParOf" srcId="{815610C4-D920-4F56-9B35-8C0E928A196B}" destId="{94F84DB0-C17B-41D3-90F5-9A3440EA59B5}" srcOrd="2" destOrd="0" presId="urn:microsoft.com/office/officeart/2005/8/layout/hProcess3"/>
    <dgm:cxn modelId="{F52C0025-8FA7-4953-9990-4F62BF562ACB}" type="presParOf" srcId="{815610C4-D920-4F56-9B35-8C0E928A196B}" destId="{60802BA7-795C-40CF-824F-20BB0E41563A}" srcOrd="3" destOrd="0" presId="urn:microsoft.com/office/officeart/2005/8/layout/hProcess3"/>
    <dgm:cxn modelId="{8B825B66-F835-4B53-A522-FB5F30432F80}" type="presParOf" srcId="{815610C4-D920-4F56-9B35-8C0E928A196B}" destId="{A8EA297D-1455-4FFD-851A-A20B4F01A2B9}" srcOrd="4" destOrd="0" presId="urn:microsoft.com/office/officeart/2005/8/layout/hProcess3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8EA297D-1455-4FFD-851A-A20B4F01A2B9}">
      <dsp:nvSpPr>
        <dsp:cNvPr id="0" name=""/>
        <dsp:cNvSpPr/>
      </dsp:nvSpPr>
      <dsp:spPr>
        <a:xfrm>
          <a:off x="0" y="635195"/>
          <a:ext cx="4897348" cy="1844104"/>
        </a:xfrm>
        <a:prstGeom prst="rightArrow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E8176A36-5B40-4D4F-9488-336A75A13363}">
      <dsp:nvSpPr>
        <dsp:cNvPr id="0" name=""/>
        <dsp:cNvSpPr/>
      </dsp:nvSpPr>
      <dsp:spPr>
        <a:xfrm>
          <a:off x="395039" y="1096221"/>
          <a:ext cx="4012573" cy="922052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0" tIns="172720" rIns="0" bIns="172720" numCol="1" spcCol="1270" anchor="ctr" anchorCtr="0">
          <a:noAutofit/>
        </a:bodyPr>
        <a:lstStyle/>
        <a:p>
          <a:pPr lvl="0" algn="ctr" defTabSz="7556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1700" b="1" kern="1200"/>
            <a:t>Click on one of these spreadsheets to begin</a:t>
          </a:r>
        </a:p>
        <a:p>
          <a:pPr lvl="0" algn="ctr" defTabSz="7556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1700" kern="1200"/>
            <a:t>(always remember to SAVE your work!)  </a:t>
          </a:r>
        </a:p>
      </dsp:txBody>
      <dsp:txXfrm>
        <a:off x="395039" y="1096221"/>
        <a:ext cx="4012573" cy="922052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hProcess3">
  <dgm:title val=""/>
  <dgm:desc val=""/>
  <dgm:catLst>
    <dgm:cat type="process" pri="6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 chOrder="t">
    <dgm:varLst>
      <dgm:dir/>
      <dgm:animLvl val="lvl"/>
      <dgm:resizeHandles val="exact"/>
    </dgm:varLst>
    <dgm:alg type="composite"/>
    <dgm:shape xmlns:r="http://schemas.openxmlformats.org/officeDocument/2006/relationships" r:blip="">
      <dgm:adjLst/>
    </dgm:shape>
    <dgm:presOf/>
    <dgm:constrLst>
      <dgm:constr type="w" for="ch" forName="dummy" refType="w"/>
      <dgm:constr type="h" for="ch" forName="dummy" refType="h"/>
      <dgm:constr type="h" for="ch" forName="dummy" refType="w" refFor="ch" refForName="dummy" op="lte" fact="0.4"/>
      <dgm:constr type="ctrX" for="ch" forName="dummy" refType="w" fact="0.5"/>
      <dgm:constr type="ctrY" for="ch" forName="dummy" refType="h" fact="0.5"/>
      <dgm:constr type="w" for="ch" forName="linH" refType="w"/>
      <dgm:constr type="h" for="ch" forName="linH" refType="h"/>
      <dgm:constr type="ctrX" for="ch" forName="linH" refType="w" fact="0.5"/>
      <dgm:constr type="ctrY" for="ch" forName="linH" refType="h" fact="0.5"/>
      <dgm:constr type="userP" for="ch" forName="linH" refType="h" refFor="ch" refForName="dummy" fact="0.25"/>
      <dgm:constr type="userT" for="des" forName="parTx" refType="w" refFor="ch" refForName="dummy" fact="0.2"/>
    </dgm:constrLst>
    <dgm:ruleLst/>
    <dgm:layoutNode name="dummy">
      <dgm:alg type="sp"/>
      <dgm:shape xmlns:r="http://schemas.openxmlformats.org/officeDocument/2006/relationships" r:blip="">
        <dgm:adjLst/>
      </dgm:shape>
      <dgm:presOf/>
      <dgm:constrLst/>
      <dgm:ruleLst/>
    </dgm:layoutNode>
    <dgm:layoutNode name="linH">
      <dgm:choose name="Name1">
        <dgm:if name="Name2" func="var" arg="dir" op="equ" val="norm">
          <dgm:alg type="lin">
            <dgm:param type="linDir" val="fromL"/>
            <dgm:param type="nodeVertAlign" val="t"/>
          </dgm:alg>
        </dgm:if>
        <dgm:else name="Name3">
          <dgm:alg type="lin">
            <dgm:param type="linDir" val="fromR"/>
            <dgm:param type="nodeVertAlign" val="t"/>
          </dgm:alg>
        </dgm:else>
      </dgm:choose>
      <dgm:shape xmlns:r="http://schemas.openxmlformats.org/officeDocument/2006/relationships" r:blip="">
        <dgm:adjLst/>
      </dgm:shape>
      <dgm:presOf/>
      <dgm:constrLst>
        <dgm:constr type="primFontSz" for="des" forName="parTx" val="65"/>
        <dgm:constr type="primFontSz" for="des" forName="desTx" refType="primFontSz" refFor="des" refForName="parTx" op="equ"/>
        <dgm:constr type="h" for="des" forName="parTx" refType="primFontSz" refFor="des" refForName="parTx"/>
        <dgm:constr type="h" for="des" forName="desTx" refType="primFontSz" refFor="des" refForName="parTx" fact="0.5"/>
        <dgm:constr type="h" for="des" forName="parTx" op="equ"/>
        <dgm:constr type="h" for="des" forName="desTx" op="equ"/>
        <dgm:constr type="h" for="ch" forName="backgroundArrow" refType="primFontSz" refFor="des" refForName="parTx" fact="2"/>
        <dgm:constr type="h" for="ch" forName="backgroundArrow" refType="h" refFor="des" refForName="parTx" op="lte" fact="2"/>
        <dgm:constr type="h" for="ch" forName="backgroundArrow" refType="h" refFor="des" refForName="parTx" op="gte" fact="2"/>
        <dgm:constr type="h" for="des" forName="spVertical1" refType="primFontSz" refFor="des" refForName="parTx" fact="0.5"/>
        <dgm:constr type="h" for="des" forName="spVertical1" refType="h" refFor="des" refForName="parTx" op="lte" fact="0.5"/>
        <dgm:constr type="h" for="des" forName="spVertical1" refType="h" refFor="des" refForName="parTx" op="gte" fact="0.5"/>
        <dgm:constr type="h" for="des" forName="spVertical2" refType="primFontSz" refFor="des" refForName="parTx" fact="0.5"/>
        <dgm:constr type="h" for="des" forName="spVertical2" refType="h" refFor="des" refForName="parTx" op="lte" fact="0.5"/>
        <dgm:constr type="h" for="des" forName="spVertical2" refType="h" refFor="des" refForName="parTx" op="gte" fact="0.5"/>
        <dgm:constr type="h" for="des" forName="spVertical3" refType="primFontSz" refFor="des" refForName="parTx" fact="-0.4"/>
        <dgm:constr type="h" for="des" forName="spVertical3" refType="h" refFor="des" refForName="parTx" op="lte" fact="-0.4"/>
        <dgm:constr type="h" for="des" forName="spVertical3" refType="h" refFor="des" refForName="parTx" op="gte" fact="-0.4"/>
        <dgm:constr type="w" for="ch" forName="backgroundArrow" refType="w"/>
        <dgm:constr type="w" for="ch" forName="negArrow" refType="w" fact="-1"/>
        <dgm:constr type="w" for="ch" forName="linV" refType="w"/>
        <dgm:constr type="w" for="ch" forName="space" refType="w" refFor="ch" refForName="linV" fact="0.2"/>
        <dgm:constr type="w" for="ch" forName="padding1" refType="w" fact="0.08"/>
        <dgm:constr type="userP"/>
        <dgm:constr type="w" for="ch" forName="padding2" refType="userP"/>
      </dgm:constrLst>
      <dgm:ruleLst>
        <dgm:rule type="w" for="ch" forName="linV" val="0" fact="NaN" max="NaN"/>
        <dgm:rule type="primFontSz" for="des" forName="parTx" val="5" fact="NaN" max="NaN"/>
      </dgm:ruleLst>
      <dgm:layoutNode name="padding1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forEach name="Name4" axis="ch" ptType="node">
        <dgm:layoutNode name="linV">
          <dgm:alg type="lin">
            <dgm:param type="linDir" val="fromT"/>
          </dgm:alg>
          <dgm:shape xmlns:r="http://schemas.openxmlformats.org/officeDocument/2006/relationships" r:blip="">
            <dgm:adjLst/>
          </dgm:shape>
          <dgm:presOf/>
          <dgm:constrLst>
            <dgm:constr type="w" for="ch" forName="spVertical1" refType="w"/>
            <dgm:constr type="w" for="ch" forName="parTx" refType="w"/>
            <dgm:constr type="w" for="ch" forName="spVertical2" refType="w"/>
            <dgm:constr type="w" for="ch" forName="spVertical3" refType="w"/>
            <dgm:constr type="w" for="ch" forName="desTx" refType="w"/>
          </dgm:constrLst>
          <dgm:ruleLst/>
          <dgm:layoutNode name="spVertical1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layoutNode name="parTx" styleLbl="revTx">
            <dgm:varLst>
              <dgm:chMax val="0"/>
              <dgm:chPref val="0"/>
              <dgm:bulletEnabled val="1"/>
            </dgm:varLst>
            <dgm:choose name="Name5">
              <dgm:if name="Name6" axis="root des" ptType="all node" func="maxDepth" op="gt" val="1">
                <dgm:alg type="tx">
                  <dgm:param type="parTxLTRAlign" val="l"/>
                  <dgm:param type="parTxRTLAlign" val="r"/>
                </dgm:alg>
              </dgm:if>
              <dgm:else name="Name7">
                <dgm:alg type="tx">
                  <dgm:param type="parTxLTRAlign" val="ctr"/>
                  <dgm:param type="parTxRTLAlign" val="ctr"/>
                </dgm:alg>
              </dgm:else>
            </dgm:choose>
            <dgm:shape xmlns:r="http://schemas.openxmlformats.org/officeDocument/2006/relationships" type="rect" r:blip="">
              <dgm:adjLst/>
            </dgm:shape>
            <dgm:presOf axis="self" ptType="node"/>
            <dgm:choose name="Name8">
              <dgm:if name="Name9" func="var" arg="dir" op="equ" val="norm">
                <dgm:constrLst>
                  <dgm:constr type="userT"/>
                  <dgm:constr type="h" refType="userT" op="lte"/>
                  <dgm:constr type="tMarg" refType="primFontSz" fact="0.8"/>
                  <dgm:constr type="bMarg" refType="tMarg"/>
                  <dgm:constr type="lMarg"/>
                  <dgm:constr type="rMarg"/>
                </dgm:constrLst>
              </dgm:if>
              <dgm:else name="Name10">
                <dgm:constrLst>
                  <dgm:constr type="userT"/>
                  <dgm:constr type="h" refType="userT" op="lte"/>
                  <dgm:constr type="tMarg" refType="primFontSz" fact="0.8"/>
                  <dgm:constr type="bMarg" refType="tMarg"/>
                  <dgm:constr type="lMarg"/>
                  <dgm:constr type="rMarg"/>
                </dgm:constrLst>
              </dgm:else>
            </dgm:choose>
            <dgm:ruleLst>
              <dgm:rule type="h" val="INF" fact="NaN" max="NaN"/>
            </dgm:ruleLst>
          </dgm:layoutNode>
          <dgm:layoutNode name="spVertical2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layoutNode name="spVertical3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choose name="Name11">
            <dgm:if name="Name12" axis="ch" ptType="node" func="cnt" op="gte" val="1">
              <dgm:layoutNode name="desTx" styleLbl="revTx">
                <dgm:varLst>
                  <dgm:bulletEnabled val="1"/>
                </dgm:varLst>
                <dgm:alg type="tx">
                  <dgm:param type="stBulletLvl" val="1"/>
                </dgm:alg>
                <dgm:shape xmlns:r="http://schemas.openxmlformats.org/officeDocument/2006/relationships" type="rect" r:blip="">
                  <dgm:adjLst/>
                </dgm:shape>
                <dgm:presOf axis="des" ptType="node"/>
                <dgm:constrLst>
                  <dgm:constr type="tMarg"/>
                  <dgm:constr type="bMarg"/>
                  <dgm:constr type="rMarg"/>
                  <dgm:constr type="lMarg"/>
                </dgm:constrLst>
                <dgm:ruleLst>
                  <dgm:rule type="h" val="INF" fact="NaN" max="NaN"/>
                </dgm:ruleLst>
              </dgm:layoutNode>
            </dgm:if>
            <dgm:else name="Name13"/>
          </dgm:choose>
        </dgm:layoutNode>
        <dgm:forEach name="Name14" axis="followSib" ptType="sibTrans" cnt="1">
          <dgm:layoutNode name="space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</dgm:forEach>
      </dgm:forEach>
      <dgm:layoutNode name="padding2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negArrow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backgroundArrow" styleLbl="node1">
        <dgm:alg type="sp"/>
        <dgm:choose name="Name15">
          <dgm:if name="Name16" func="var" arg="dir" op="equ" val="norm">
            <dgm:shape xmlns:r="http://schemas.openxmlformats.org/officeDocument/2006/relationships" type="rightArrow" r:blip="">
              <dgm:adjLst/>
            </dgm:shape>
          </dgm:if>
          <dgm:else name="Name17">
            <dgm:shape xmlns:r="http://schemas.openxmlformats.org/officeDocument/2006/relationships" type="leftArrow" r:blip="">
              <dgm:adjLst/>
            </dgm:shape>
          </dgm:else>
        </dgm:choose>
        <dgm:presOf/>
        <dgm:constrLst/>
        <dgm:ruleLst/>
      </dgm:layoutNode>
    </dgm:layoutNode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7" Type="http://schemas.openxmlformats.org/officeDocument/2006/relationships/image" Target="../media/image2.jpg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6" Type="http://schemas.openxmlformats.org/officeDocument/2006/relationships/image" Target="../media/image1.jpeg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208604</xdr:colOff>
      <xdr:row>0</xdr:row>
      <xdr:rowOff>152400</xdr:rowOff>
    </xdr:from>
    <xdr:ext cx="7252819" cy="1759456"/>
    <xdr:sp macro="" textlink="">
      <xdr:nvSpPr>
        <xdr:cNvPr id="2" name="Rectangle 1"/>
        <xdr:cNvSpPr/>
      </xdr:nvSpPr>
      <xdr:spPr>
        <a:xfrm>
          <a:off x="818204" y="152400"/>
          <a:ext cx="7252819" cy="175945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 rtl="0">
            <a:lnSpc>
              <a:spcPts val="6500"/>
            </a:lnSpc>
            <a:defRPr sz="1000"/>
          </a:pPr>
          <a:r>
            <a:rPr lang="en-US" sz="5400" b="1" i="0" u="none" strike="noStrike" baseline="0">
              <a:solidFill>
                <a:srgbClr val="008000"/>
              </a:solidFill>
              <a:latin typeface="Calibri"/>
            </a:rPr>
            <a:t>2014 Dairy Cow Budget -</a:t>
          </a:r>
        </a:p>
        <a:p>
          <a:pPr algn="ctr" rtl="0">
            <a:lnSpc>
              <a:spcPts val="6500"/>
            </a:lnSpc>
            <a:defRPr sz="1000"/>
          </a:pPr>
          <a:r>
            <a:rPr lang="en-US" sz="5400" b="1" i="0" u="none" strike="noStrike" baseline="0">
              <a:solidFill>
                <a:srgbClr val="008000"/>
              </a:solidFill>
              <a:latin typeface="Calibri"/>
            </a:rPr>
            <a:t>Large Breed</a:t>
          </a:r>
        </a:p>
      </xdr:txBody>
    </xdr:sp>
    <xdr:clientData/>
  </xdr:oneCellAnchor>
  <xdr:twoCellAnchor editAs="oneCell">
    <xdr:from>
      <xdr:col>0</xdr:col>
      <xdr:colOff>533400</xdr:colOff>
      <xdr:row>12</xdr:row>
      <xdr:rowOff>0</xdr:rowOff>
    </xdr:from>
    <xdr:to>
      <xdr:col>9</xdr:col>
      <xdr:colOff>247650</xdr:colOff>
      <xdr:row>20</xdr:row>
      <xdr:rowOff>123825</xdr:rowOff>
    </xdr:to>
    <xdr:sp macro="" textlink="">
      <xdr:nvSpPr>
        <xdr:cNvPr id="3" name="TextBox 4"/>
        <xdr:cNvSpPr txBox="1">
          <a:spLocks noChangeArrowheads="1"/>
        </xdr:cNvSpPr>
      </xdr:nvSpPr>
      <xdr:spPr bwMode="auto">
        <a:xfrm>
          <a:off x="533400" y="1943100"/>
          <a:ext cx="5200650" cy="1419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Calibri"/>
            </a:rPr>
            <a:t>*This resource is based on large breed dairy cows being fed diets that consist of 80% corn silage and 20% hay for the forage portion. The budget includes the costs associated with a cow during the lactating and dry periods with a 13-month calving interval and is based on a 700-cow herd. Heifer calves are sold at birth, and the purchase of 0.33 of a springing heifer for a 33% cull rate is included as an item in the budget.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Calibri"/>
            </a:rPr>
            <a:t>**Input your data in the boxes in green; blue boxes reveal calculated output </a:t>
          </a:r>
        </a:p>
      </xdr:txBody>
    </xdr:sp>
    <xdr:clientData/>
  </xdr:twoCellAnchor>
  <xdr:twoCellAnchor>
    <xdr:from>
      <xdr:col>0</xdr:col>
      <xdr:colOff>209550</xdr:colOff>
      <xdr:row>16</xdr:row>
      <xdr:rowOff>18511</xdr:rowOff>
    </xdr:from>
    <xdr:to>
      <xdr:col>8</xdr:col>
      <xdr:colOff>230098</xdr:colOff>
      <xdr:row>34</xdr:row>
      <xdr:rowOff>161207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 editAs="oneCell">
    <xdr:from>
      <xdr:col>13</xdr:col>
      <xdr:colOff>133350</xdr:colOff>
      <xdr:row>10</xdr:row>
      <xdr:rowOff>8986</xdr:rowOff>
    </xdr:from>
    <xdr:to>
      <xdr:col>17</xdr:col>
      <xdr:colOff>571500</xdr:colOff>
      <xdr:row>21</xdr:row>
      <xdr:rowOff>132811</xdr:rowOff>
    </xdr:to>
    <xdr:pic>
      <xdr:nvPicPr>
        <xdr:cNvPr id="5" name="il_fi" descr="holstein_cow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1628236"/>
          <a:ext cx="2876550" cy="190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32</xdr:row>
      <xdr:rowOff>133351</xdr:rowOff>
    </xdr:from>
    <xdr:to>
      <xdr:col>8</xdr:col>
      <xdr:colOff>323850</xdr:colOff>
      <xdr:row>36</xdr:row>
      <xdr:rowOff>95251</xdr:rowOff>
    </xdr:to>
    <xdr:sp macro="" textlink="">
      <xdr:nvSpPr>
        <xdr:cNvPr id="18" name="TextBox 4"/>
        <xdr:cNvSpPr txBox="1">
          <a:spLocks noChangeArrowheads="1"/>
        </xdr:cNvSpPr>
      </xdr:nvSpPr>
      <xdr:spPr bwMode="auto">
        <a:xfrm>
          <a:off x="161925" y="5314951"/>
          <a:ext cx="5038725" cy="647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+mn-lt"/>
            </a:rPr>
            <a:t>*This budget was prepared by: Barry Ward, Leader, Production Business Management; Dianne Shoemaker, Extension Field Specialist, Dairy; Maurice Eastridge, Extension Dairy Specialist, Department of Animal Sciences.</a:t>
          </a:r>
        </a:p>
      </xdr:txBody>
    </xdr:sp>
    <xdr:clientData/>
  </xdr:twoCellAnchor>
  <xdr:twoCellAnchor editAs="oneCell">
    <xdr:from>
      <xdr:col>12</xdr:col>
      <xdr:colOff>228600</xdr:colOff>
      <xdr:row>24</xdr:row>
      <xdr:rowOff>38854</xdr:rowOff>
    </xdr:from>
    <xdr:to>
      <xdr:col>18</xdr:col>
      <xdr:colOff>323850</xdr:colOff>
      <xdr:row>33</xdr:row>
      <xdr:rowOff>112657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43800" y="3925054"/>
          <a:ext cx="3752850" cy="16168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118110</xdr:rowOff>
    </xdr:from>
    <xdr:to>
      <xdr:col>4</xdr:col>
      <xdr:colOff>181379</xdr:colOff>
      <xdr:row>4</xdr:row>
      <xdr:rowOff>76200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8110"/>
          <a:ext cx="1848254" cy="7962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5" Type="http://schemas.openxmlformats.org/officeDocument/2006/relationships/printerSettings" Target="../printerSettings/printerSettings6.bin"/><Relationship Id="rId4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23:O35"/>
  <sheetViews>
    <sheetView tabSelected="1" workbookViewId="0">
      <selection activeCell="J25" sqref="J25"/>
    </sheetView>
  </sheetViews>
  <sheetFormatPr defaultRowHeight="12.5"/>
  <sheetData>
    <row r="23" spans="10:10">
      <c r="J23" s="40" t="s">
        <v>167</v>
      </c>
    </row>
    <row r="24" spans="10:10">
      <c r="J24" s="40" t="s">
        <v>168</v>
      </c>
    </row>
    <row r="25" spans="10:10" ht="15.5">
      <c r="J25" s="183" t="s">
        <v>3</v>
      </c>
    </row>
    <row r="26" spans="10:10" ht="15.5">
      <c r="J26" s="183" t="s">
        <v>147</v>
      </c>
    </row>
    <row r="27" spans="10:10" ht="15.5">
      <c r="J27" s="183" t="s">
        <v>171</v>
      </c>
    </row>
    <row r="29" spans="10:10">
      <c r="J29" s="40" t="s">
        <v>169</v>
      </c>
    </row>
    <row r="30" spans="10:10">
      <c r="J30" s="40" t="s">
        <v>170</v>
      </c>
    </row>
    <row r="31" spans="10:10">
      <c r="J31" s="40" t="s">
        <v>172</v>
      </c>
    </row>
    <row r="32" spans="10:10">
      <c r="J32" s="232" t="s">
        <v>173</v>
      </c>
    </row>
    <row r="35" spans="15:15" ht="15.5">
      <c r="O35" s="222" t="s">
        <v>162</v>
      </c>
    </row>
  </sheetData>
  <hyperlinks>
    <hyperlink ref="J25" location="Budget!A1" display="BUDGET"/>
    <hyperlink ref="J26" location="'Feed Costs Calculations'!A1" display="Equipment Inventory"/>
    <hyperlink ref="J27" location="'Buildings and Machinery'!A1" display="Estimated Project Budget"/>
    <hyperlink ref="J32" location="Budget!M6" display="cell M6 (or just CLICK HERE).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61"/>
  <sheetViews>
    <sheetView showRuler="0" view="pageBreakPreview" zoomScaleNormal="100" zoomScaleSheetLayoutView="100" workbookViewId="0"/>
  </sheetViews>
  <sheetFormatPr defaultColWidth="10.26953125" defaultRowHeight="15.5"/>
  <cols>
    <col min="1" max="1" width="2.7265625" customWidth="1"/>
    <col min="2" max="2" width="3.26953125" customWidth="1"/>
    <col min="3" max="3" width="13.26953125" customWidth="1"/>
    <col min="4" max="4" width="5.7265625" customWidth="1"/>
    <col min="5" max="5" width="6.26953125" customWidth="1"/>
    <col min="6" max="6" width="6.453125" customWidth="1"/>
    <col min="7" max="7" width="9.7265625" style="4" customWidth="1"/>
    <col min="8" max="11" width="10.26953125" customWidth="1"/>
    <col min="12" max="12" width="3.26953125" customWidth="1"/>
    <col min="13" max="13" width="10.26953125" customWidth="1"/>
    <col min="14" max="14" width="12.453125" style="13" customWidth="1"/>
    <col min="15" max="15" width="9.54296875" style="13" customWidth="1"/>
    <col min="16" max="16" width="8.81640625" style="13" customWidth="1"/>
    <col min="17" max="17" width="9.7265625" style="24" customWidth="1"/>
    <col min="18" max="18" width="9.1796875" style="13" customWidth="1"/>
    <col min="19" max="19" width="0.453125" style="13" customWidth="1"/>
    <col min="20" max="20" width="8.7265625" style="13" customWidth="1"/>
    <col min="21" max="21" width="7.7265625" style="13" customWidth="1"/>
    <col min="22" max="22" width="0.453125" style="13" customWidth="1"/>
    <col min="23" max="23" width="7.7265625" style="13" customWidth="1"/>
    <col min="24" max="24" width="6.1796875" style="13" customWidth="1"/>
    <col min="25" max="25" width="0.453125" style="13" customWidth="1"/>
    <col min="26" max="26" width="7.81640625" style="13" customWidth="1"/>
    <col min="27" max="27" width="7.7265625" style="13" customWidth="1"/>
    <col min="28" max="28" width="0.81640625" style="13" customWidth="1"/>
    <col min="29" max="29" width="2.54296875" style="13" customWidth="1"/>
    <col min="30" max="32" width="7.7265625" style="13" customWidth="1"/>
    <col min="33" max="33" width="3.453125" style="13" customWidth="1"/>
    <col min="34" max="34" width="7.7265625" style="13" customWidth="1"/>
    <col min="35" max="35" width="11.453125" style="13" customWidth="1"/>
    <col min="36" max="42" width="10.26953125" style="13" customWidth="1"/>
  </cols>
  <sheetData>
    <row r="1" spans="1:42" ht="18.5">
      <c r="A1" s="8"/>
      <c r="B1" s="8"/>
      <c r="C1" s="8"/>
      <c r="D1" s="8"/>
      <c r="E1" s="8"/>
      <c r="H1" s="104" t="s">
        <v>60</v>
      </c>
      <c r="I1" s="104"/>
      <c r="J1" s="104"/>
      <c r="K1" s="104"/>
      <c r="L1" s="104"/>
      <c r="M1" s="104"/>
      <c r="N1" s="104"/>
      <c r="O1" s="104"/>
      <c r="AE1" s="8"/>
      <c r="AF1" s="8"/>
      <c r="AG1" s="8"/>
      <c r="AH1" s="8"/>
      <c r="AI1" s="8"/>
      <c r="AJ1" s="8"/>
      <c r="AK1" s="8"/>
    </row>
    <row r="2" spans="1:42">
      <c r="A2" s="9"/>
      <c r="B2" s="9"/>
      <c r="C2" s="9"/>
      <c r="D2" s="9"/>
      <c r="E2" s="9"/>
      <c r="H2" s="105" t="s">
        <v>33</v>
      </c>
      <c r="I2" s="105"/>
      <c r="J2" s="105"/>
      <c r="K2" s="105"/>
      <c r="L2" s="105"/>
      <c r="M2" s="105"/>
      <c r="N2" s="105"/>
      <c r="O2" s="105"/>
      <c r="AE2" s="8"/>
      <c r="AF2" s="8"/>
      <c r="AG2" s="8"/>
      <c r="AH2" s="8"/>
      <c r="AI2" s="8"/>
      <c r="AJ2" s="8"/>
      <c r="AK2" s="8"/>
    </row>
    <row r="3" spans="1:42">
      <c r="A3" s="9"/>
      <c r="B3" s="9"/>
      <c r="C3" s="9"/>
      <c r="D3" s="9"/>
      <c r="E3" s="9"/>
      <c r="K3" s="96" t="s">
        <v>43</v>
      </c>
      <c r="L3" s="96"/>
      <c r="M3" s="107">
        <v>41969</v>
      </c>
      <c r="AE3" s="8"/>
      <c r="AF3" s="8"/>
      <c r="AG3" s="8"/>
      <c r="AH3" s="8"/>
      <c r="AI3" s="8"/>
      <c r="AJ3" s="8"/>
      <c r="AK3" s="8"/>
    </row>
    <row r="4" spans="1:42">
      <c r="A4" s="9"/>
      <c r="B4" s="9"/>
      <c r="C4" s="9"/>
      <c r="D4" s="9"/>
      <c r="E4" s="9"/>
      <c r="M4" s="182" t="s">
        <v>1</v>
      </c>
      <c r="AE4" s="8"/>
      <c r="AF4" s="8"/>
      <c r="AG4" s="8"/>
      <c r="AH4" s="8"/>
      <c r="AI4" s="8"/>
      <c r="AJ4" s="8"/>
      <c r="AK4" s="8"/>
    </row>
    <row r="5" spans="1:42" ht="15" customHeight="1">
      <c r="A5" s="9"/>
      <c r="B5" s="9"/>
      <c r="C5" s="9"/>
      <c r="D5" s="9"/>
      <c r="E5" s="9"/>
      <c r="F5" s="13"/>
      <c r="G5" s="239" t="s">
        <v>0</v>
      </c>
      <c r="H5" s="239"/>
      <c r="I5" s="243" t="s">
        <v>137</v>
      </c>
      <c r="J5" s="243"/>
      <c r="K5" s="243"/>
      <c r="L5" s="181"/>
      <c r="M5" s="11" t="s">
        <v>3</v>
      </c>
      <c r="AE5" s="8"/>
      <c r="AF5" s="8"/>
      <c r="AG5" s="8"/>
      <c r="AH5" s="8"/>
      <c r="AI5" s="8"/>
      <c r="AJ5" s="8"/>
      <c r="AK5" s="8"/>
    </row>
    <row r="6" spans="1:42" ht="15" customHeight="1">
      <c r="A6" s="11" t="s">
        <v>2</v>
      </c>
      <c r="B6" s="13"/>
      <c r="C6" s="9"/>
      <c r="D6" s="9"/>
      <c r="E6" s="9"/>
      <c r="F6" s="9"/>
      <c r="G6" s="240" t="s">
        <v>32</v>
      </c>
      <c r="H6" s="240"/>
      <c r="I6" s="196">
        <v>21000</v>
      </c>
      <c r="J6" s="196">
        <v>24000</v>
      </c>
      <c r="K6" s="197">
        <v>27000</v>
      </c>
      <c r="L6" s="9"/>
      <c r="M6" s="197">
        <v>0</v>
      </c>
      <c r="AE6" s="8"/>
      <c r="AF6" s="8"/>
      <c r="AG6" s="8"/>
      <c r="AH6" s="8"/>
      <c r="AI6" s="8"/>
      <c r="AJ6" s="8"/>
      <c r="AK6" s="8"/>
    </row>
    <row r="7" spans="1:42" ht="3.75" customHeight="1">
      <c r="A7" s="14"/>
      <c r="B7" s="14"/>
      <c r="C7" s="14"/>
      <c r="D7" s="14"/>
      <c r="E7" s="14"/>
      <c r="F7" s="14"/>
      <c r="G7" s="15"/>
      <c r="H7" s="14"/>
      <c r="I7" s="14"/>
      <c r="J7" s="14"/>
      <c r="K7" s="14"/>
      <c r="L7" s="14"/>
      <c r="M7" s="14"/>
      <c r="AE7" s="8"/>
      <c r="AF7" s="8"/>
      <c r="AG7" s="8"/>
      <c r="AH7" s="8"/>
      <c r="AI7" s="8"/>
      <c r="AJ7" s="8"/>
      <c r="AK7" s="8"/>
    </row>
    <row r="8" spans="1:42" ht="4.5" customHeight="1">
      <c r="A8" s="9"/>
      <c r="B8" s="9"/>
      <c r="C8" s="9"/>
      <c r="D8" s="9"/>
      <c r="E8" s="9"/>
      <c r="F8" s="9"/>
      <c r="G8" s="10"/>
      <c r="H8" s="9"/>
      <c r="I8" s="9"/>
      <c r="J8" s="9"/>
      <c r="K8" s="9"/>
      <c r="L8" s="9"/>
      <c r="M8" s="9"/>
      <c r="AE8" s="8"/>
      <c r="AF8" s="8"/>
      <c r="AG8" s="8"/>
      <c r="AH8" s="8"/>
      <c r="AI8" s="8"/>
      <c r="AJ8" s="8"/>
      <c r="AK8" s="8"/>
    </row>
    <row r="9" spans="1:42" ht="15" customHeight="1">
      <c r="A9" s="11" t="s">
        <v>4</v>
      </c>
      <c r="B9" s="9"/>
      <c r="C9" s="9"/>
      <c r="D9" s="9"/>
      <c r="E9" s="9"/>
      <c r="F9" s="9"/>
      <c r="G9" s="10"/>
      <c r="H9" s="9"/>
      <c r="I9" s="9"/>
      <c r="J9" s="9"/>
      <c r="K9" s="9"/>
      <c r="L9" s="9"/>
      <c r="M9" s="9"/>
      <c r="AE9" s="8"/>
      <c r="AF9" s="8"/>
      <c r="AG9" s="8"/>
      <c r="AH9" s="8"/>
      <c r="AI9" s="8"/>
      <c r="AJ9" s="8"/>
      <c r="AK9" s="8"/>
    </row>
    <row r="10" spans="1:42" ht="16" customHeight="1">
      <c r="A10" s="9"/>
      <c r="B10" s="74" t="s">
        <v>41</v>
      </c>
      <c r="C10" s="9"/>
      <c r="D10" s="9"/>
      <c r="E10" s="9"/>
      <c r="F10" s="9"/>
      <c r="G10" s="198">
        <v>23</v>
      </c>
      <c r="H10" s="9" t="s">
        <v>23</v>
      </c>
      <c r="I10" s="71">
        <f>(I6/100)*$G$10</f>
        <v>4830</v>
      </c>
      <c r="J10" s="71">
        <f>(J6/100)*$G$10</f>
        <v>5520</v>
      </c>
      <c r="K10" s="71">
        <f>(K6/100)*$G$10</f>
        <v>6210</v>
      </c>
      <c r="L10" s="9"/>
      <c r="M10" s="210">
        <f>(M6/100)*$G$10</f>
        <v>0</v>
      </c>
      <c r="AE10" s="8"/>
      <c r="AF10" s="8"/>
      <c r="AG10" s="8"/>
      <c r="AH10" s="8"/>
      <c r="AI10" s="8"/>
      <c r="AJ10" s="8"/>
      <c r="AK10" s="8"/>
    </row>
    <row r="11" spans="1:42" s="6" customFormat="1" ht="16" customHeight="1">
      <c r="A11" s="16"/>
      <c r="B11" s="75" t="s">
        <v>28</v>
      </c>
      <c r="C11" s="16"/>
      <c r="D11" s="16"/>
      <c r="E11" s="16"/>
      <c r="F11" s="16"/>
      <c r="G11" s="199">
        <v>100</v>
      </c>
      <c r="H11" s="16" t="s">
        <v>39</v>
      </c>
      <c r="I11" s="17">
        <f>$G$11*0.45</f>
        <v>45</v>
      </c>
      <c r="J11" s="17">
        <f>$G$11*0.45</f>
        <v>45</v>
      </c>
      <c r="K11" s="17">
        <f>$G$11*0.45</f>
        <v>45</v>
      </c>
      <c r="L11" s="16"/>
      <c r="M11" s="211">
        <f>IF(M6&gt;0,$G$11*0.45,0)</f>
        <v>0</v>
      </c>
      <c r="N11" s="24"/>
      <c r="O11" s="24"/>
      <c r="P11" s="245"/>
      <c r="Q11" s="245"/>
      <c r="R11" s="245"/>
      <c r="S11" s="245"/>
      <c r="T11" s="245"/>
      <c r="U11" s="245"/>
      <c r="V11" s="245"/>
      <c r="W11" s="245"/>
      <c r="X11" s="245"/>
      <c r="Y11" s="24"/>
      <c r="Z11" s="24"/>
      <c r="AA11" s="24"/>
      <c r="AB11" s="24"/>
      <c r="AC11" s="24"/>
      <c r="AD11" s="24"/>
      <c r="AE11" s="30"/>
      <c r="AF11" s="30"/>
      <c r="AG11" s="30"/>
      <c r="AH11" s="30"/>
      <c r="AI11" s="30"/>
      <c r="AJ11" s="30"/>
      <c r="AK11" s="30"/>
      <c r="AL11" s="24"/>
      <c r="AM11" s="24"/>
      <c r="AN11" s="24"/>
      <c r="AO11" s="24"/>
      <c r="AP11" s="24"/>
    </row>
    <row r="12" spans="1:42" ht="16" customHeight="1">
      <c r="A12" s="9"/>
      <c r="B12" s="99" t="s">
        <v>29</v>
      </c>
      <c r="C12" s="98"/>
      <c r="D12" s="98"/>
      <c r="E12" s="98"/>
      <c r="F12" s="98"/>
      <c r="G12" s="100"/>
      <c r="H12" s="98"/>
      <c r="I12" s="103">
        <f>(H82*0.45)</f>
        <v>90</v>
      </c>
      <c r="J12" s="103">
        <f>(I82*0.45)</f>
        <v>112.5</v>
      </c>
      <c r="K12" s="103">
        <f>(J82*0.45)</f>
        <v>135</v>
      </c>
      <c r="L12" s="9"/>
      <c r="M12" s="212">
        <f>IF(M6&gt;0,(K82*0.45),0)</f>
        <v>0</v>
      </c>
      <c r="P12" s="246"/>
      <c r="Q12" s="246"/>
      <c r="R12" s="246"/>
      <c r="S12" s="246"/>
      <c r="T12" s="246"/>
      <c r="U12" s="246"/>
      <c r="V12" s="246"/>
      <c r="W12" s="246"/>
      <c r="X12" s="246"/>
      <c r="AE12" s="8"/>
      <c r="AF12" s="8"/>
      <c r="AG12" s="8"/>
      <c r="AH12" s="8"/>
      <c r="AI12" s="8"/>
      <c r="AJ12" s="8"/>
      <c r="AK12" s="8"/>
    </row>
    <row r="13" spans="1:42" ht="16" customHeight="1">
      <c r="A13" s="9"/>
      <c r="B13" s="74" t="s">
        <v>30</v>
      </c>
      <c r="C13" s="9"/>
      <c r="D13" s="9"/>
      <c r="E13" s="9"/>
      <c r="F13" s="9"/>
      <c r="G13" s="199">
        <v>60</v>
      </c>
      <c r="H13" s="9" t="s">
        <v>23</v>
      </c>
      <c r="I13" s="20">
        <f>0.33*($G$13/100)*1400</f>
        <v>277.2</v>
      </c>
      <c r="J13" s="20">
        <f>0.33*($G$13/100)*1400</f>
        <v>277.2</v>
      </c>
      <c r="K13" s="20">
        <f>0.33*($G$13/100)*1400</f>
        <v>277.2</v>
      </c>
      <c r="L13" s="21"/>
      <c r="M13" s="213">
        <f>IF(M6&gt;0,0.33*($G$13/100)*1400,0)</f>
        <v>0</v>
      </c>
      <c r="AE13" s="8"/>
      <c r="AF13" s="8"/>
      <c r="AG13" s="8"/>
      <c r="AH13" s="8"/>
      <c r="AI13" s="8"/>
      <c r="AJ13" s="8"/>
      <c r="AK13" s="8"/>
    </row>
    <row r="14" spans="1:42" ht="7.5" customHeight="1">
      <c r="A14" s="9"/>
      <c r="B14" s="9"/>
      <c r="C14" s="9"/>
      <c r="D14" s="9"/>
      <c r="E14" s="9"/>
      <c r="F14" s="9"/>
      <c r="G14" s="10"/>
      <c r="H14" s="9"/>
      <c r="I14" s="9"/>
      <c r="J14" s="9"/>
      <c r="K14" s="9"/>
      <c r="L14" s="9"/>
      <c r="M14" s="214"/>
      <c r="AE14" s="8"/>
      <c r="AF14" s="8"/>
      <c r="AG14" s="8"/>
      <c r="AH14" s="8"/>
      <c r="AI14" s="8"/>
      <c r="AJ14" s="8"/>
      <c r="AK14" s="8"/>
    </row>
    <row r="15" spans="1:42" ht="15" customHeight="1">
      <c r="A15" s="11" t="s">
        <v>5</v>
      </c>
      <c r="B15" s="9"/>
      <c r="C15" s="13"/>
      <c r="D15" s="13"/>
      <c r="E15" s="13"/>
      <c r="F15" s="9"/>
      <c r="G15" s="10"/>
      <c r="H15" s="9"/>
      <c r="I15" s="17">
        <f>SUM(I10:I13)</f>
        <v>5242.2</v>
      </c>
      <c r="J15" s="17">
        <f>SUM(J10:J13)</f>
        <v>5954.7</v>
      </c>
      <c r="K15" s="17">
        <f>SUM(K10:K13)</f>
        <v>6667.2</v>
      </c>
      <c r="L15" s="9"/>
      <c r="M15" s="211">
        <f>SUM(M10:M13)</f>
        <v>0</v>
      </c>
      <c r="AE15" s="8"/>
      <c r="AF15" s="8"/>
      <c r="AG15" s="8"/>
      <c r="AH15" s="8"/>
      <c r="AI15" s="8"/>
      <c r="AJ15" s="8"/>
      <c r="AK15" s="8"/>
    </row>
    <row r="16" spans="1:42" ht="6" customHeight="1">
      <c r="A16" s="9"/>
      <c r="B16" s="9"/>
      <c r="C16" s="9"/>
      <c r="D16" s="9"/>
      <c r="E16" s="9"/>
      <c r="F16" s="9"/>
      <c r="G16" s="10"/>
      <c r="H16" s="9"/>
      <c r="I16" s="17"/>
      <c r="J16" s="17"/>
      <c r="K16" s="17"/>
      <c r="L16" s="9"/>
      <c r="M16" s="9"/>
      <c r="AE16" s="8"/>
      <c r="AF16" s="8"/>
      <c r="AG16" s="8"/>
      <c r="AH16" s="8"/>
      <c r="AI16" s="8"/>
      <c r="AJ16" s="8"/>
      <c r="AK16" s="8"/>
    </row>
    <row r="17" spans="1:37" ht="15" customHeight="1">
      <c r="A17" s="11" t="s">
        <v>6</v>
      </c>
      <c r="B17" s="9"/>
      <c r="C17" s="9"/>
      <c r="D17" s="9"/>
      <c r="E17" s="9"/>
      <c r="F17" s="9"/>
      <c r="G17" s="10"/>
      <c r="H17" s="9"/>
      <c r="I17" s="17"/>
      <c r="J17" s="17"/>
      <c r="K17" s="17"/>
      <c r="L17" s="9"/>
      <c r="M17" s="9"/>
      <c r="AE17" s="8"/>
      <c r="AF17" s="8"/>
      <c r="AG17" s="8"/>
      <c r="AH17" s="8"/>
      <c r="AI17" s="8"/>
      <c r="AJ17" s="8"/>
      <c r="AK17" s="8"/>
    </row>
    <row r="18" spans="1:37" ht="16" customHeight="1">
      <c r="A18" s="9"/>
      <c r="B18" s="74" t="s">
        <v>31</v>
      </c>
      <c r="C18" s="9"/>
      <c r="D18" s="9"/>
      <c r="E18" s="9"/>
      <c r="F18" s="9"/>
      <c r="G18" s="10"/>
      <c r="H18" s="9"/>
      <c r="I18" s="17"/>
      <c r="J18" s="17"/>
      <c r="K18" s="17"/>
      <c r="L18" s="9"/>
      <c r="M18" s="9"/>
      <c r="O18" s="183" t="s">
        <v>161</v>
      </c>
      <c r="AE18" s="8"/>
      <c r="AF18" s="8"/>
      <c r="AG18" s="8"/>
      <c r="AH18" s="8"/>
      <c r="AI18" s="8"/>
      <c r="AJ18" s="8"/>
      <c r="AK18" s="8"/>
    </row>
    <row r="19" spans="1:37" ht="15" customHeight="1">
      <c r="A19" s="9"/>
      <c r="B19" s="9"/>
      <c r="C19" s="77" t="s">
        <v>120</v>
      </c>
      <c r="D19" s="77"/>
      <c r="E19" s="77"/>
      <c r="F19" s="77"/>
      <c r="G19" s="200">
        <v>168</v>
      </c>
      <c r="H19" s="77" t="s">
        <v>25</v>
      </c>
      <c r="I19" s="78">
        <f>+G19*'Feed Costs Calculations'!G7</f>
        <v>198.20885167464112</v>
      </c>
      <c r="J19" s="78">
        <f>+G19*'Feed Costs Calculations'!I7</f>
        <v>167.0354066985646</v>
      </c>
      <c r="K19" s="78">
        <f>+$G19*'Feed Costs Calculations'!$K7</f>
        <v>182.62212918660288</v>
      </c>
      <c r="L19" s="9"/>
      <c r="M19" s="211">
        <f>+$G$19*'Feed Costs Calculations'!$P$7</f>
        <v>0</v>
      </c>
      <c r="AE19" s="8"/>
      <c r="AF19" s="8"/>
      <c r="AG19" s="8"/>
      <c r="AH19" s="8"/>
      <c r="AI19" s="8"/>
      <c r="AJ19" s="8"/>
      <c r="AK19" s="8"/>
    </row>
    <row r="20" spans="1:37" ht="15" customHeight="1">
      <c r="A20" s="9"/>
      <c r="B20" s="9"/>
      <c r="C20" s="77" t="s">
        <v>8</v>
      </c>
      <c r="D20" s="77"/>
      <c r="E20" s="77"/>
      <c r="F20" s="77"/>
      <c r="G20" s="201">
        <v>40.5</v>
      </c>
      <c r="H20" s="77" t="s">
        <v>25</v>
      </c>
      <c r="I20" s="78">
        <f>+G20*'Feed Costs Calculations'!G8</f>
        <v>511.52112605042015</v>
      </c>
      <c r="J20" s="78">
        <f>+G20*'Feed Costs Calculations'!I8</f>
        <v>490.40326890756313</v>
      </c>
      <c r="K20" s="78">
        <f>+$G20*'Feed Costs Calculations'!$K8</f>
        <v>469.28541176470594</v>
      </c>
      <c r="L20" s="9"/>
      <c r="M20" s="211">
        <f>+$G20*'Feed Costs Calculations'!$P8</f>
        <v>0</v>
      </c>
      <c r="AE20" s="8"/>
      <c r="AF20" s="8"/>
      <c r="AG20" s="8"/>
      <c r="AH20" s="8"/>
      <c r="AI20" s="8"/>
      <c r="AJ20" s="8"/>
      <c r="AK20" s="8"/>
    </row>
    <row r="21" spans="1:37" ht="15" customHeight="1">
      <c r="A21" s="9"/>
      <c r="B21" s="9"/>
      <c r="C21" s="77" t="s">
        <v>7</v>
      </c>
      <c r="D21" s="77"/>
      <c r="E21" s="77"/>
      <c r="F21" s="77"/>
      <c r="G21" s="201">
        <v>4.5</v>
      </c>
      <c r="H21" s="77" t="s">
        <v>38</v>
      </c>
      <c r="I21" s="78">
        <f>+G21*'Feed Costs Calculations'!G9</f>
        <v>314.32306851311955</v>
      </c>
      <c r="J21" s="78">
        <f>+G21*'Feed Costs Calculations'!I9</f>
        <v>257.79063411078721</v>
      </c>
      <c r="K21" s="78">
        <f>+$G21*'Feed Costs Calculations'!$K9</f>
        <v>348.01639941690968</v>
      </c>
      <c r="L21" s="9"/>
      <c r="M21" s="211">
        <f>+$G21*'Feed Costs Calculations'!$P9</f>
        <v>0</v>
      </c>
      <c r="AE21" s="8"/>
      <c r="AF21" s="8"/>
      <c r="AG21" s="8"/>
      <c r="AH21" s="8"/>
      <c r="AI21" s="8"/>
      <c r="AJ21" s="8"/>
      <c r="AK21" s="8"/>
    </row>
    <row r="22" spans="1:37" ht="15" customHeight="1">
      <c r="A22" s="9"/>
      <c r="B22" s="9"/>
      <c r="C22" s="77" t="s">
        <v>24</v>
      </c>
      <c r="D22" s="77"/>
      <c r="E22" s="202">
        <v>404</v>
      </c>
      <c r="F22" s="97" t="s">
        <v>25</v>
      </c>
      <c r="G22" s="79">
        <f>E22/2000</f>
        <v>0.20200000000000001</v>
      </c>
      <c r="H22" s="77" t="s">
        <v>37</v>
      </c>
      <c r="I22" s="78">
        <f>+G22*'Feed Costs Calculations'!G10</f>
        <v>461.85742630385499</v>
      </c>
      <c r="J22" s="78">
        <f>+G22*'Feed Costs Calculations'!I10</f>
        <v>284.21995464852608</v>
      </c>
      <c r="K22" s="78">
        <f>+$G22*'Feed Costs Calculations'!$K10</f>
        <v>319.74744897959187</v>
      </c>
      <c r="L22" s="9"/>
      <c r="M22" s="211">
        <f>+$G22*'Feed Costs Calculations'!$P10</f>
        <v>0</v>
      </c>
      <c r="AE22" s="8"/>
      <c r="AF22" s="8"/>
      <c r="AG22" s="8"/>
      <c r="AH22" s="8"/>
      <c r="AI22" s="8"/>
      <c r="AJ22" s="8"/>
      <c r="AK22" s="8"/>
    </row>
    <row r="23" spans="1:37" ht="15" customHeight="1">
      <c r="A23" s="9"/>
      <c r="B23" s="9"/>
      <c r="C23" s="9" t="s">
        <v>155</v>
      </c>
      <c r="D23" s="77"/>
      <c r="E23" s="202">
        <v>458</v>
      </c>
      <c r="F23" s="97" t="s">
        <v>25</v>
      </c>
      <c r="G23" s="79">
        <f>E23/2000</f>
        <v>0.22900000000000001</v>
      </c>
      <c r="H23" s="77" t="s">
        <v>37</v>
      </c>
      <c r="I23" s="78">
        <f>+G23*'Feed Costs Calculations'!G11</f>
        <v>0</v>
      </c>
      <c r="J23" s="78">
        <f>+G23*'Feed Costs Calculations'!I11</f>
        <v>80.552437641723358</v>
      </c>
      <c r="K23" s="78">
        <f>+$G23*'Feed Costs Calculations'!$K11</f>
        <v>80.552437641723358</v>
      </c>
      <c r="L23" s="9"/>
      <c r="M23" s="211">
        <f>+$G23*'Feed Costs Calculations'!$P11</f>
        <v>0</v>
      </c>
      <c r="AE23" s="8"/>
      <c r="AF23" s="8"/>
      <c r="AG23" s="8"/>
      <c r="AH23" s="8"/>
      <c r="AI23" s="8"/>
      <c r="AJ23" s="8"/>
      <c r="AK23" s="8"/>
    </row>
    <row r="24" spans="1:37" ht="15" customHeight="1">
      <c r="A24" s="9"/>
      <c r="B24" s="9"/>
      <c r="C24" s="9" t="s">
        <v>156</v>
      </c>
      <c r="D24" s="77"/>
      <c r="E24" s="77"/>
      <c r="F24" s="77"/>
      <c r="G24" s="203">
        <v>0.09</v>
      </c>
      <c r="H24" s="77" t="s">
        <v>37</v>
      </c>
      <c r="I24" s="78">
        <f>+G24*'Feed Costs Calculations'!G12</f>
        <v>0</v>
      </c>
      <c r="J24" s="78">
        <f>+G24*'Feed Costs Calculations'!I12</f>
        <v>110.80357142857142</v>
      </c>
      <c r="K24" s="78">
        <f>+$G24*'Feed Costs Calculations'!$K12</f>
        <v>94.974489795918359</v>
      </c>
      <c r="L24" s="9"/>
      <c r="M24" s="211">
        <f>+$G24*'Feed Costs Calculations'!$P12</f>
        <v>0</v>
      </c>
      <c r="AE24" s="8"/>
      <c r="AF24" s="8"/>
      <c r="AG24" s="8"/>
      <c r="AH24" s="8"/>
      <c r="AI24" s="8"/>
      <c r="AJ24" s="8"/>
      <c r="AK24" s="8"/>
    </row>
    <row r="25" spans="1:37" ht="15" customHeight="1">
      <c r="A25" s="9"/>
      <c r="B25" s="9"/>
      <c r="C25" s="9" t="s">
        <v>157</v>
      </c>
      <c r="D25" s="77"/>
      <c r="E25" s="77"/>
      <c r="F25" s="77"/>
      <c r="G25" s="203">
        <v>0.15</v>
      </c>
      <c r="H25" s="77" t="s">
        <v>37</v>
      </c>
      <c r="I25" s="78">
        <f>+G25*'Feed Costs Calculations'!G13</f>
        <v>0</v>
      </c>
      <c r="J25" s="78">
        <f>+G25*'Feed Costs Calculations'!I13</f>
        <v>237.4362244897959</v>
      </c>
      <c r="K25" s="78">
        <f>+$G25*'Feed Costs Calculations'!$K13</f>
        <v>263.81802721088434</v>
      </c>
      <c r="L25" s="9"/>
      <c r="M25" s="211">
        <f>+$G25*'Feed Costs Calculations'!$P13</f>
        <v>0</v>
      </c>
      <c r="AE25" s="8"/>
      <c r="AF25" s="8"/>
      <c r="AG25" s="8"/>
      <c r="AH25" s="8"/>
      <c r="AI25" s="8"/>
      <c r="AJ25" s="8"/>
      <c r="AK25" s="8"/>
    </row>
    <row r="26" spans="1:37" ht="15" customHeight="1">
      <c r="A26" s="9"/>
      <c r="B26" s="9"/>
      <c r="C26" s="9" t="s">
        <v>159</v>
      </c>
      <c r="D26" s="77"/>
      <c r="E26" s="77"/>
      <c r="F26" s="77"/>
      <c r="G26" s="201">
        <v>0.2</v>
      </c>
      <c r="H26" s="77" t="s">
        <v>37</v>
      </c>
      <c r="I26" s="78">
        <f>+G26*'Feed Costs Calculations'!G14</f>
        <v>102.43747165532882</v>
      </c>
      <c r="J26" s="78">
        <f>+G26*'Feed Costs Calculations'!I14</f>
        <v>108.34699546485258</v>
      </c>
      <c r="K26" s="78">
        <f>+$G26*'Feed Costs Calculations'!$K14</f>
        <v>113.97511337868482</v>
      </c>
      <c r="L26" s="9"/>
      <c r="M26" s="211">
        <f>+$G26*'Feed Costs Calculations'!$P14</f>
        <v>0</v>
      </c>
      <c r="AE26" s="8"/>
      <c r="AF26" s="8"/>
      <c r="AG26" s="8"/>
      <c r="AH26" s="8"/>
      <c r="AI26" s="8"/>
      <c r="AJ26" s="8"/>
      <c r="AK26" s="8"/>
    </row>
    <row r="27" spans="1:37" ht="15" customHeight="1">
      <c r="A27" s="9"/>
      <c r="B27" s="9"/>
      <c r="C27" s="77" t="s">
        <v>34</v>
      </c>
      <c r="D27" s="77"/>
      <c r="E27" s="77"/>
      <c r="F27" s="77"/>
      <c r="G27" s="201">
        <v>0.6</v>
      </c>
      <c r="H27" s="77" t="s">
        <v>37</v>
      </c>
      <c r="I27" s="78">
        <f>+G27*'Feed Costs Calculations'!G15</f>
        <v>1.4849999999999994</v>
      </c>
      <c r="J27" s="78">
        <f>+G27*'Feed Costs Calculations'!I15</f>
        <v>98.489833333333323</v>
      </c>
      <c r="K27" s="78">
        <f>+$G27*'Feed Costs Calculations'!$K15</f>
        <v>100.14449999999997</v>
      </c>
      <c r="L27" s="9"/>
      <c r="M27" s="211">
        <f>+$G27*'Feed Costs Calculations'!$P15</f>
        <v>0</v>
      </c>
      <c r="AE27" s="8"/>
      <c r="AF27" s="8"/>
      <c r="AG27" s="8"/>
      <c r="AH27" s="8"/>
      <c r="AI27" s="8"/>
      <c r="AJ27" s="8"/>
      <c r="AK27" s="8"/>
    </row>
    <row r="28" spans="1:37" ht="15" customHeight="1">
      <c r="A28" s="9"/>
      <c r="B28" s="9"/>
      <c r="C28" s="77"/>
      <c r="D28" s="77"/>
      <c r="E28" s="77"/>
      <c r="F28" s="77"/>
      <c r="G28" s="80"/>
      <c r="H28" s="77"/>
      <c r="I28" s="78"/>
      <c r="J28" s="78"/>
      <c r="K28" s="78"/>
      <c r="L28" s="22"/>
      <c r="M28" s="215"/>
      <c r="AE28" s="8"/>
      <c r="AF28" s="8"/>
      <c r="AG28" s="8"/>
      <c r="AH28" s="8"/>
      <c r="AI28" s="8"/>
      <c r="AJ28" s="8"/>
      <c r="AK28" s="8"/>
    </row>
    <row r="29" spans="1:37" ht="6" customHeight="1">
      <c r="A29" s="9"/>
      <c r="B29" s="9"/>
      <c r="C29" s="9"/>
      <c r="D29" s="9"/>
      <c r="E29" s="9"/>
      <c r="F29" s="9"/>
      <c r="G29" s="10"/>
      <c r="H29" s="9"/>
      <c r="I29" s="17"/>
      <c r="J29" s="17"/>
      <c r="K29" s="17"/>
      <c r="L29" s="9"/>
      <c r="M29" s="9"/>
      <c r="AE29" s="8"/>
      <c r="AF29" s="8"/>
      <c r="AG29" s="8"/>
      <c r="AH29" s="8"/>
      <c r="AI29" s="8"/>
      <c r="AJ29" s="8"/>
      <c r="AK29" s="8"/>
    </row>
    <row r="30" spans="1:37" ht="15" customHeight="1">
      <c r="A30" s="9"/>
      <c r="B30" s="11" t="s">
        <v>9</v>
      </c>
      <c r="C30" s="13"/>
      <c r="D30" s="13"/>
      <c r="E30" s="13"/>
      <c r="F30" s="9"/>
      <c r="G30" s="10"/>
      <c r="H30" s="9"/>
      <c r="I30" s="17">
        <f>SUM(I19:I27)</f>
        <v>1589.8329441973644</v>
      </c>
      <c r="J30" s="17">
        <f>SUM(J19:J27)</f>
        <v>1835.0783267237175</v>
      </c>
      <c r="K30" s="17">
        <f>SUM(K19:K27)</f>
        <v>1973.1359573750212</v>
      </c>
      <c r="L30" s="9"/>
      <c r="M30" s="211">
        <f>SUM(M19:M27)</f>
        <v>0</v>
      </c>
      <c r="AE30" s="8"/>
      <c r="AF30" s="8"/>
      <c r="AG30" s="8"/>
      <c r="AH30" s="8"/>
      <c r="AI30" s="8"/>
      <c r="AJ30" s="8"/>
      <c r="AK30" s="8"/>
    </row>
    <row r="31" spans="1:37" ht="15" customHeight="1">
      <c r="A31" s="9"/>
      <c r="B31" s="9" t="s">
        <v>10</v>
      </c>
      <c r="C31" s="9"/>
      <c r="D31" s="9"/>
      <c r="E31" s="9"/>
      <c r="F31" s="9"/>
      <c r="G31" s="10"/>
      <c r="H31" s="9"/>
      <c r="I31" s="17"/>
      <c r="J31" s="17"/>
      <c r="K31" s="17"/>
      <c r="L31" s="9"/>
      <c r="M31" s="9"/>
      <c r="AE31" s="8"/>
      <c r="AF31" s="8"/>
      <c r="AG31" s="8"/>
      <c r="AH31" s="8"/>
      <c r="AI31" s="8"/>
      <c r="AJ31" s="8"/>
      <c r="AK31" s="8"/>
    </row>
    <row r="32" spans="1:37" ht="16" customHeight="1">
      <c r="A32" s="9"/>
      <c r="B32" s="9"/>
      <c r="C32" s="9" t="s">
        <v>70</v>
      </c>
      <c r="D32" s="74"/>
      <c r="E32" s="74"/>
      <c r="F32" s="9"/>
      <c r="G32" s="10"/>
      <c r="H32" s="9"/>
      <c r="I32" s="17">
        <v>100</v>
      </c>
      <c r="J32" s="17">
        <v>115</v>
      </c>
      <c r="K32" s="17">
        <v>125</v>
      </c>
      <c r="L32" s="9"/>
      <c r="M32" s="220">
        <v>0</v>
      </c>
      <c r="AE32" s="8"/>
      <c r="AF32" s="8"/>
      <c r="AG32" s="8"/>
      <c r="AH32" s="8"/>
      <c r="AI32" s="8"/>
      <c r="AJ32" s="8"/>
      <c r="AK32" s="8"/>
    </row>
    <row r="33" spans="1:42" ht="16" customHeight="1">
      <c r="A33" s="9"/>
      <c r="B33" s="9"/>
      <c r="C33" s="9" t="s">
        <v>76</v>
      </c>
      <c r="D33" s="74"/>
      <c r="E33" s="74"/>
      <c r="F33" s="9"/>
      <c r="G33" s="10"/>
      <c r="H33" s="9"/>
      <c r="I33" s="17">
        <v>70</v>
      </c>
      <c r="J33" s="17">
        <v>75</v>
      </c>
      <c r="K33" s="17">
        <v>80</v>
      </c>
      <c r="L33" s="9"/>
      <c r="M33" s="220">
        <v>0</v>
      </c>
      <c r="AE33" s="8"/>
      <c r="AF33" s="8"/>
      <c r="AG33" s="8"/>
      <c r="AH33" s="8"/>
      <c r="AI33" s="8"/>
      <c r="AJ33" s="8"/>
      <c r="AK33" s="8"/>
    </row>
    <row r="34" spans="1:42" ht="16" customHeight="1">
      <c r="A34" s="9"/>
      <c r="B34" s="9"/>
      <c r="C34" s="9" t="s">
        <v>71</v>
      </c>
      <c r="D34" s="74"/>
      <c r="E34" s="74"/>
      <c r="F34" s="9"/>
      <c r="G34" s="10"/>
      <c r="H34" s="9"/>
      <c r="I34" s="176">
        <v>24.5</v>
      </c>
      <c r="J34" s="176">
        <v>24.5</v>
      </c>
      <c r="K34" s="176">
        <v>24.5</v>
      </c>
      <c r="L34" s="9"/>
      <c r="M34" s="220">
        <v>0</v>
      </c>
      <c r="AE34" s="8"/>
      <c r="AF34" s="8"/>
      <c r="AG34" s="8"/>
      <c r="AH34" s="8"/>
      <c r="AI34" s="8"/>
      <c r="AJ34" s="8"/>
      <c r="AK34" s="8"/>
    </row>
    <row r="35" spans="1:42" ht="16" customHeight="1">
      <c r="A35" s="9"/>
      <c r="B35" s="9"/>
      <c r="C35" s="9" t="s">
        <v>73</v>
      </c>
      <c r="D35" s="74"/>
      <c r="E35" s="74"/>
      <c r="F35" s="9"/>
      <c r="G35" s="10"/>
      <c r="H35" s="9"/>
      <c r="I35" s="17">
        <v>70</v>
      </c>
      <c r="J35" s="17">
        <v>80</v>
      </c>
      <c r="K35" s="17">
        <v>90</v>
      </c>
      <c r="L35" s="9"/>
      <c r="M35" s="220">
        <v>0</v>
      </c>
      <c r="AE35" s="8"/>
      <c r="AF35" s="8"/>
      <c r="AG35" s="8"/>
      <c r="AH35" s="8"/>
      <c r="AI35" s="8"/>
      <c r="AJ35" s="8"/>
      <c r="AK35" s="8"/>
    </row>
    <row r="36" spans="1:42" ht="16" customHeight="1">
      <c r="A36" s="9"/>
      <c r="B36" s="9"/>
      <c r="C36" s="9" t="s">
        <v>44</v>
      </c>
      <c r="D36" s="74"/>
      <c r="E36" s="74"/>
      <c r="F36" s="9"/>
      <c r="G36" s="10"/>
      <c r="H36" s="9"/>
      <c r="I36" s="17">
        <v>91</v>
      </c>
      <c r="J36" s="17">
        <v>91</v>
      </c>
      <c r="K36" s="17">
        <v>91</v>
      </c>
      <c r="L36" s="9"/>
      <c r="M36" s="220">
        <v>0</v>
      </c>
      <c r="AE36" s="8"/>
      <c r="AF36" s="8"/>
      <c r="AG36" s="8"/>
      <c r="AH36" s="8"/>
      <c r="AI36" s="8"/>
      <c r="AJ36" s="8"/>
      <c r="AK36" s="8"/>
    </row>
    <row r="37" spans="1:42" s="6" customFormat="1" ht="16" customHeight="1">
      <c r="A37" s="16"/>
      <c r="B37" s="16"/>
      <c r="C37" s="16" t="s">
        <v>45</v>
      </c>
      <c r="D37" s="75"/>
      <c r="E37" s="75"/>
      <c r="F37" s="16"/>
      <c r="G37" s="204">
        <v>0.8</v>
      </c>
      <c r="H37" s="16" t="s">
        <v>23</v>
      </c>
      <c r="I37" s="17">
        <f>+$G$37*(I6/100)+9</f>
        <v>177</v>
      </c>
      <c r="J37" s="17">
        <f>+$G$37*(J6/100)+9</f>
        <v>201</v>
      </c>
      <c r="K37" s="17">
        <f>+$G$37*(K6/100)+9</f>
        <v>225</v>
      </c>
      <c r="L37" s="16"/>
      <c r="M37" s="211">
        <f>IF(M6&gt;0,$G$37*(M6/100)+9,0)</f>
        <v>0</v>
      </c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30"/>
      <c r="AF37" s="30"/>
      <c r="AG37" s="30"/>
      <c r="AH37" s="30"/>
      <c r="AI37" s="30"/>
      <c r="AJ37" s="30"/>
      <c r="AK37" s="30"/>
      <c r="AL37" s="24"/>
      <c r="AM37" s="24"/>
      <c r="AN37" s="24"/>
      <c r="AO37" s="24"/>
      <c r="AP37" s="24"/>
    </row>
    <row r="38" spans="1:42" s="6" customFormat="1" ht="16" customHeight="1">
      <c r="A38" s="16"/>
      <c r="B38" s="16"/>
      <c r="C38" s="9" t="s">
        <v>74</v>
      </c>
      <c r="D38" s="74"/>
      <c r="E38" s="74"/>
      <c r="F38" s="9"/>
      <c r="G38" s="10"/>
      <c r="H38" s="9"/>
      <c r="I38" s="17">
        <v>180</v>
      </c>
      <c r="J38" s="17">
        <v>200</v>
      </c>
      <c r="K38" s="17">
        <v>225</v>
      </c>
      <c r="L38" s="9"/>
      <c r="M38" s="220">
        <v>0</v>
      </c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30"/>
      <c r="AC38" s="30"/>
      <c r="AD38" s="30"/>
      <c r="AE38" s="30"/>
      <c r="AF38" s="30"/>
      <c r="AG38" s="30"/>
      <c r="AH38" s="30"/>
      <c r="AI38" s="24"/>
      <c r="AJ38" s="24"/>
      <c r="AK38" s="24"/>
      <c r="AL38" s="24"/>
      <c r="AM38" s="24"/>
      <c r="AN38" s="24"/>
      <c r="AO38" s="24"/>
      <c r="AP38" s="24"/>
    </row>
    <row r="39" spans="1:42" s="6" customFormat="1" ht="16" customHeight="1">
      <c r="A39" s="16"/>
      <c r="B39" s="16"/>
      <c r="C39" s="9" t="s">
        <v>75</v>
      </c>
      <c r="D39" s="74"/>
      <c r="E39" s="74"/>
      <c r="F39" s="9"/>
      <c r="G39" s="10"/>
      <c r="H39" s="9"/>
      <c r="I39" s="17">
        <v>105</v>
      </c>
      <c r="J39" s="17">
        <v>105</v>
      </c>
      <c r="K39" s="17">
        <v>105</v>
      </c>
      <c r="L39" s="9"/>
      <c r="M39" s="220">
        <v>0</v>
      </c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30"/>
      <c r="AC39" s="30"/>
      <c r="AD39" s="30"/>
      <c r="AE39" s="30"/>
      <c r="AF39" s="30"/>
      <c r="AG39" s="30"/>
      <c r="AH39" s="30"/>
      <c r="AI39" s="24"/>
      <c r="AJ39" s="24"/>
      <c r="AK39" s="24"/>
      <c r="AL39" s="24"/>
      <c r="AM39" s="24"/>
      <c r="AN39" s="24"/>
      <c r="AO39" s="24"/>
      <c r="AP39" s="24"/>
    </row>
    <row r="40" spans="1:42" ht="16" customHeight="1">
      <c r="A40" s="9"/>
      <c r="B40" s="9"/>
      <c r="C40" s="9" t="s">
        <v>121</v>
      </c>
      <c r="D40" s="74"/>
      <c r="E40" s="74"/>
      <c r="F40" s="9"/>
      <c r="G40" s="205">
        <v>0.04</v>
      </c>
      <c r="H40" s="9"/>
      <c r="I40" s="101">
        <f>+(I30+I41)*($G$40)*0.5</f>
        <v>41.696658883947293</v>
      </c>
      <c r="J40" s="101">
        <f>+(J30+J41)*($G$40)*0.5</f>
        <v>48.25156653447435</v>
      </c>
      <c r="K40" s="101">
        <f>+(K30+K41)*($G$40)*0.5</f>
        <v>52.662719147500432</v>
      </c>
      <c r="L40" s="12"/>
      <c r="M40" s="216">
        <f>+(M30+M41)*($G$40)*0.5</f>
        <v>0</v>
      </c>
      <c r="AE40" s="8"/>
      <c r="AF40" s="8"/>
      <c r="AG40" s="8"/>
      <c r="AH40" s="8"/>
      <c r="AI40" s="8"/>
      <c r="AJ40" s="8"/>
      <c r="AK40" s="8"/>
    </row>
    <row r="41" spans="1:42" ht="16" customHeight="1">
      <c r="A41" s="9"/>
      <c r="B41" s="98"/>
      <c r="C41" s="98" t="s">
        <v>46</v>
      </c>
      <c r="D41" s="99"/>
      <c r="E41" s="99"/>
      <c r="F41" s="98"/>
      <c r="G41" s="100"/>
      <c r="H41" s="98"/>
      <c r="I41" s="102">
        <f>0.33*H83</f>
        <v>495</v>
      </c>
      <c r="J41" s="102">
        <f>0.33*I83</f>
        <v>577.5</v>
      </c>
      <c r="K41" s="102">
        <f>0.33*$J$83</f>
        <v>660</v>
      </c>
      <c r="L41" s="12"/>
      <c r="M41" s="217">
        <f>0.33*$K$83</f>
        <v>0</v>
      </c>
      <c r="AE41" s="8"/>
      <c r="AF41" s="8"/>
      <c r="AG41" s="8"/>
      <c r="AH41" s="8"/>
      <c r="AI41" s="8"/>
      <c r="AJ41" s="8"/>
      <c r="AK41" s="8"/>
    </row>
    <row r="42" spans="1:42" ht="9" customHeight="1">
      <c r="A42" s="9"/>
      <c r="B42" s="9"/>
      <c r="C42" s="9"/>
      <c r="D42" s="9"/>
      <c r="E42" s="9"/>
      <c r="F42" s="9"/>
      <c r="G42" s="10"/>
      <c r="H42" s="9"/>
      <c r="I42" s="17"/>
      <c r="J42" s="17"/>
      <c r="K42" s="17"/>
      <c r="L42" s="9"/>
      <c r="M42" s="9"/>
      <c r="AE42" s="8"/>
      <c r="AF42" s="8"/>
      <c r="AG42" s="8"/>
      <c r="AH42" s="8"/>
      <c r="AI42" s="8"/>
      <c r="AJ42" s="8"/>
      <c r="AK42" s="8"/>
    </row>
    <row r="43" spans="1:42" ht="15" customHeight="1">
      <c r="A43" s="9"/>
      <c r="B43" s="11" t="s">
        <v>11</v>
      </c>
      <c r="C43" s="13"/>
      <c r="D43" s="13"/>
      <c r="E43" s="13"/>
      <c r="F43" s="9"/>
      <c r="G43" s="10"/>
      <c r="H43" s="9"/>
      <c r="I43" s="17">
        <f>SUM(I32:I41)</f>
        <v>1354.1966588839473</v>
      </c>
      <c r="J43" s="17">
        <f>SUM(J32:J41)</f>
        <v>1517.2515665344745</v>
      </c>
      <c r="K43" s="17">
        <f>SUM(K32:K41)</f>
        <v>1678.1627191475004</v>
      </c>
      <c r="L43" s="9"/>
      <c r="M43" s="211">
        <f>SUM(M32:M41)</f>
        <v>0</v>
      </c>
      <c r="AE43" s="8"/>
      <c r="AF43" s="8"/>
      <c r="AG43" s="8"/>
      <c r="AH43" s="8"/>
      <c r="AI43" s="8"/>
      <c r="AJ43" s="8"/>
      <c r="AK43" s="8"/>
    </row>
    <row r="44" spans="1:42" ht="15" customHeight="1">
      <c r="A44" s="11" t="s">
        <v>12</v>
      </c>
      <c r="B44" s="9"/>
      <c r="C44" s="13"/>
      <c r="D44" s="13"/>
      <c r="E44" s="13"/>
      <c r="F44" s="9"/>
      <c r="G44" s="10"/>
      <c r="H44" s="9"/>
      <c r="I44" s="17">
        <f>I30+I43</f>
        <v>2944.0296030813115</v>
      </c>
      <c r="J44" s="17">
        <f>J30+J43</f>
        <v>3352.329893258192</v>
      </c>
      <c r="K44" s="17">
        <f>K30+K43</f>
        <v>3651.2986765225214</v>
      </c>
      <c r="L44" s="9"/>
      <c r="M44" s="211">
        <f>M30+M43</f>
        <v>0</v>
      </c>
      <c r="AE44" s="8"/>
      <c r="AF44" s="8"/>
      <c r="AG44" s="8"/>
      <c r="AH44" s="8"/>
      <c r="AI44" s="8"/>
      <c r="AJ44" s="8"/>
      <c r="AK44" s="8"/>
    </row>
    <row r="45" spans="1:42" ht="15" customHeight="1">
      <c r="A45" s="11" t="s">
        <v>13</v>
      </c>
      <c r="B45" s="13"/>
      <c r="C45" s="11"/>
      <c r="D45" s="11"/>
      <c r="E45" s="11"/>
      <c r="F45" s="9"/>
      <c r="G45" s="10"/>
      <c r="H45" s="9"/>
      <c r="I45" s="17"/>
      <c r="J45" s="17"/>
      <c r="K45" s="17"/>
      <c r="L45" s="9"/>
      <c r="M45" s="9"/>
      <c r="AE45" s="8"/>
      <c r="AF45" s="8"/>
      <c r="AG45" s="8"/>
      <c r="AH45" s="8"/>
      <c r="AI45" s="8"/>
      <c r="AJ45" s="8"/>
      <c r="AK45" s="8"/>
    </row>
    <row r="46" spans="1:42" s="6" customFormat="1" ht="16" customHeight="1">
      <c r="A46" s="16"/>
      <c r="B46" s="16" t="s">
        <v>47</v>
      </c>
      <c r="C46" s="24"/>
      <c r="D46" s="24"/>
      <c r="E46" s="206">
        <v>46</v>
      </c>
      <c r="F46" s="75" t="s">
        <v>42</v>
      </c>
      <c r="G46" s="204">
        <v>15</v>
      </c>
      <c r="H46" s="16" t="s">
        <v>40</v>
      </c>
      <c r="I46" s="17">
        <f>$E$46*$G$46</f>
        <v>690</v>
      </c>
      <c r="J46" s="17">
        <f>$E$46*$G$46</f>
        <v>690</v>
      </c>
      <c r="K46" s="17">
        <f>$E$46*$G$46</f>
        <v>690</v>
      </c>
      <c r="L46" s="16"/>
      <c r="M46" s="211">
        <f>IF(M6&gt;0,$E$46*$G$46,0)</f>
        <v>0</v>
      </c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30"/>
      <c r="AF46" s="30"/>
      <c r="AG46" s="30"/>
      <c r="AH46" s="30"/>
      <c r="AI46" s="30"/>
      <c r="AJ46" s="30"/>
      <c r="AK46" s="30"/>
      <c r="AL46" s="24"/>
      <c r="AM46" s="24"/>
      <c r="AN46" s="24"/>
      <c r="AO46" s="24"/>
      <c r="AP46" s="24"/>
    </row>
    <row r="47" spans="1:42" ht="16" customHeight="1">
      <c r="A47" s="9"/>
      <c r="B47" s="9" t="s">
        <v>55</v>
      </c>
      <c r="C47" s="13"/>
      <c r="D47" s="13"/>
      <c r="E47" s="13"/>
      <c r="F47" s="9"/>
      <c r="G47" s="205">
        <v>4.4999999999999998E-2</v>
      </c>
      <c r="H47" s="9"/>
      <c r="I47" s="17">
        <f>(((H83+I13)/2)*$G$47)+((H83+I13/2)*0.01)</f>
        <v>56.373000000000005</v>
      </c>
      <c r="J47" s="17">
        <f>(((I83+J13)/2)*$G$47)+((I83+J13/2)*0.01)</f>
        <v>64.498000000000005</v>
      </c>
      <c r="K47" s="17">
        <f>((($J$83+$K$13)/2)*$G$47)+(($J$83+$K$13/2)*0.01)</f>
        <v>72.62299999999999</v>
      </c>
      <c r="L47" s="9"/>
      <c r="M47" s="211">
        <f>((($K$83+$M$13)/2)*$G$47)+(($K$83+$M$13/2)*0.01)</f>
        <v>0</v>
      </c>
      <c r="AE47" s="8"/>
      <c r="AF47" s="8"/>
      <c r="AG47" s="8"/>
      <c r="AH47" s="8"/>
      <c r="AI47" s="8"/>
      <c r="AJ47" s="8"/>
      <c r="AK47" s="8"/>
    </row>
    <row r="48" spans="1:42" s="7" customFormat="1" ht="16" customHeight="1">
      <c r="A48" s="25"/>
      <c r="B48" s="25" t="s">
        <v>113</v>
      </c>
      <c r="C48" s="26"/>
      <c r="D48" s="26"/>
      <c r="E48" s="26"/>
      <c r="F48" s="25"/>
      <c r="G48" s="174"/>
      <c r="H48" s="25"/>
      <c r="I48" s="19">
        <f>'Buildings and Machinery'!$L$30</f>
        <v>121.07250000000001</v>
      </c>
      <c r="J48" s="19">
        <f>'Buildings and Machinery'!$L$30</f>
        <v>121.07250000000001</v>
      </c>
      <c r="K48" s="19">
        <f>'Buildings and Machinery'!$L$30</f>
        <v>121.07250000000001</v>
      </c>
      <c r="L48" s="25"/>
      <c r="M48" s="212">
        <f>IF(M6&gt;0,'Buildings and Machinery'!$L$30,0)</f>
        <v>0</v>
      </c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31"/>
      <c r="AF48" s="31"/>
      <c r="AG48" s="31"/>
      <c r="AH48" s="31"/>
      <c r="AI48" s="31"/>
      <c r="AJ48" s="31"/>
      <c r="AK48" s="31"/>
      <c r="AL48" s="26"/>
      <c r="AM48" s="26"/>
      <c r="AN48" s="26"/>
      <c r="AO48" s="26"/>
      <c r="AP48" s="26"/>
    </row>
    <row r="49" spans="1:42" s="7" customFormat="1" ht="16" customHeight="1">
      <c r="A49" s="25"/>
      <c r="B49" s="25" t="s">
        <v>48</v>
      </c>
      <c r="C49" s="26"/>
      <c r="D49" s="26"/>
      <c r="E49" s="26"/>
      <c r="F49" s="25"/>
      <c r="G49" s="174"/>
      <c r="H49" s="25"/>
      <c r="I49" s="19">
        <f>'Buildings and Machinery'!$L$13</f>
        <v>345.94892500000003</v>
      </c>
      <c r="J49" s="19">
        <f>'Buildings and Machinery'!$L$13</f>
        <v>345.94892500000003</v>
      </c>
      <c r="K49" s="19">
        <f>'Buildings and Machinery'!$L$13</f>
        <v>345.94892500000003</v>
      </c>
      <c r="L49" s="25"/>
      <c r="M49" s="212">
        <f>IF(M6&gt;0,'Buildings and Machinery'!$L$13,0)</f>
        <v>0</v>
      </c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31"/>
      <c r="AF49" s="31"/>
      <c r="AG49" s="31"/>
      <c r="AH49" s="31"/>
      <c r="AI49" s="31"/>
      <c r="AJ49" s="31"/>
      <c r="AK49" s="31"/>
      <c r="AL49" s="26"/>
      <c r="AM49" s="26"/>
      <c r="AN49" s="26"/>
      <c r="AO49" s="26"/>
      <c r="AP49" s="26"/>
    </row>
    <row r="50" spans="1:42" ht="16" customHeight="1">
      <c r="A50" s="9"/>
      <c r="B50" s="9" t="s">
        <v>49</v>
      </c>
      <c r="C50" s="13"/>
      <c r="D50" s="13"/>
      <c r="E50" s="13"/>
      <c r="F50" s="9"/>
      <c r="G50" s="205">
        <v>0.05</v>
      </c>
      <c r="H50" s="9"/>
      <c r="I50" s="23">
        <f>I15*G50</f>
        <v>262.11</v>
      </c>
      <c r="J50" s="23">
        <f>J15*G50</f>
        <v>297.73500000000001</v>
      </c>
      <c r="K50" s="23">
        <f>K15*$G$50</f>
        <v>333.36</v>
      </c>
      <c r="L50" s="21"/>
      <c r="M50" s="217">
        <f>M15*$G$50</f>
        <v>0</v>
      </c>
      <c r="AE50" s="8"/>
      <c r="AF50" s="8"/>
      <c r="AG50" s="8"/>
      <c r="AH50" s="8"/>
      <c r="AI50" s="8"/>
      <c r="AJ50" s="8"/>
      <c r="AK50" s="8"/>
    </row>
    <row r="51" spans="1:42" ht="6" customHeight="1">
      <c r="A51" s="9"/>
      <c r="B51" s="9"/>
      <c r="C51" s="9"/>
      <c r="D51" s="9"/>
      <c r="E51" s="9"/>
      <c r="F51" s="9"/>
      <c r="G51" s="10"/>
      <c r="H51" s="9"/>
      <c r="I51" s="17"/>
      <c r="J51" s="17"/>
      <c r="K51" s="17"/>
      <c r="L51" s="9"/>
      <c r="M51" s="214"/>
      <c r="AE51" s="8"/>
      <c r="AF51" s="8"/>
      <c r="AG51" s="8"/>
      <c r="AH51" s="8"/>
      <c r="AI51" s="8"/>
      <c r="AJ51" s="8"/>
      <c r="AK51" s="8"/>
    </row>
    <row r="52" spans="1:42" ht="15" customHeight="1">
      <c r="A52" s="11" t="s">
        <v>14</v>
      </c>
      <c r="B52" s="9"/>
      <c r="C52" s="13"/>
      <c r="D52" s="13"/>
      <c r="E52" s="13"/>
      <c r="F52" s="9"/>
      <c r="G52" s="10"/>
      <c r="H52" s="9"/>
      <c r="I52" s="17">
        <f>SUM(I46:I50)</f>
        <v>1475.5044250000001</v>
      </c>
      <c r="J52" s="17">
        <f>SUM(J46:J50)</f>
        <v>1519.2544250000001</v>
      </c>
      <c r="K52" s="17">
        <f>SUM(K46:K50)</f>
        <v>1563.0044250000001</v>
      </c>
      <c r="L52" s="9"/>
      <c r="M52" s="211">
        <f>SUM(M46:M50)</f>
        <v>0</v>
      </c>
      <c r="AE52" s="8"/>
      <c r="AF52" s="8"/>
      <c r="AG52" s="8"/>
      <c r="AH52" s="8"/>
      <c r="AI52" s="8"/>
      <c r="AJ52" s="8"/>
      <c r="AK52" s="8"/>
    </row>
    <row r="53" spans="1:42" ht="6" customHeight="1">
      <c r="A53" s="9"/>
      <c r="B53" s="9"/>
      <c r="C53" s="9"/>
      <c r="D53" s="9"/>
      <c r="E53" s="9"/>
      <c r="F53" s="9"/>
      <c r="G53" s="10"/>
      <c r="H53" s="9"/>
      <c r="I53" s="17"/>
      <c r="J53" s="17"/>
      <c r="K53" s="17"/>
      <c r="L53" s="9"/>
      <c r="M53" s="211"/>
      <c r="AE53" s="8"/>
      <c r="AF53" s="8"/>
      <c r="AG53" s="8"/>
      <c r="AH53" s="8"/>
      <c r="AI53" s="8"/>
      <c r="AJ53" s="8"/>
      <c r="AK53" s="8"/>
    </row>
    <row r="54" spans="1:42" ht="15" customHeight="1">
      <c r="A54" s="11" t="s">
        <v>15</v>
      </c>
      <c r="B54" s="9"/>
      <c r="C54" s="13"/>
      <c r="D54" s="13"/>
      <c r="E54" s="13"/>
      <c r="F54" s="9"/>
      <c r="G54" s="10"/>
      <c r="H54" s="9"/>
      <c r="I54" s="17">
        <f>I44+I52</f>
        <v>4419.5340280813116</v>
      </c>
      <c r="J54" s="17">
        <f>J44+J52</f>
        <v>4871.5843182581921</v>
      </c>
      <c r="K54" s="17">
        <f>K44+K52</f>
        <v>5214.3031015225215</v>
      </c>
      <c r="L54" s="9"/>
      <c r="M54" s="211">
        <f>M44+M52</f>
        <v>0</v>
      </c>
      <c r="AE54" s="8"/>
      <c r="AF54" s="8"/>
      <c r="AG54" s="8"/>
      <c r="AH54" s="8"/>
      <c r="AI54" s="8"/>
      <c r="AJ54" s="8"/>
      <c r="AK54" s="8"/>
    </row>
    <row r="55" spans="1:42" ht="4.5" customHeight="1">
      <c r="A55" s="9"/>
      <c r="B55" s="9"/>
      <c r="C55" s="9"/>
      <c r="D55" s="9"/>
      <c r="E55" s="9"/>
      <c r="F55" s="9"/>
      <c r="G55" s="10"/>
      <c r="H55" s="9"/>
      <c r="I55" s="9"/>
      <c r="J55" s="9"/>
      <c r="K55" s="9"/>
      <c r="L55" s="9"/>
      <c r="M55" s="214"/>
      <c r="AE55" s="8"/>
      <c r="AF55" s="8"/>
      <c r="AG55" s="8"/>
      <c r="AH55" s="8"/>
      <c r="AI55" s="8"/>
      <c r="AJ55" s="8"/>
      <c r="AK55" s="8"/>
    </row>
    <row r="56" spans="1:42" ht="14.25" customHeight="1">
      <c r="A56" s="11" t="s">
        <v>16</v>
      </c>
      <c r="B56" s="9"/>
      <c r="C56" s="9"/>
      <c r="D56" s="9"/>
      <c r="E56" s="9"/>
      <c r="F56" s="9"/>
      <c r="G56" s="10"/>
      <c r="H56" s="9"/>
      <c r="I56" s="17">
        <f>I15-I44</f>
        <v>2298.1703969186883</v>
      </c>
      <c r="J56" s="17">
        <f>J15-J44</f>
        <v>2602.3701067418078</v>
      </c>
      <c r="K56" s="17">
        <f>K15-K44</f>
        <v>3015.9013234774784</v>
      </c>
      <c r="L56" s="9"/>
      <c r="M56" s="211">
        <f>M15-M44</f>
        <v>0</v>
      </c>
      <c r="AE56" s="8"/>
      <c r="AF56" s="8"/>
      <c r="AG56" s="8"/>
      <c r="AH56" s="8"/>
      <c r="AI56" s="8"/>
      <c r="AJ56" s="8"/>
      <c r="AK56" s="8"/>
    </row>
    <row r="57" spans="1:42" ht="18.75" customHeight="1">
      <c r="A57" s="11" t="s">
        <v>17</v>
      </c>
      <c r="B57" s="9"/>
      <c r="C57" s="9"/>
      <c r="D57" s="9"/>
      <c r="E57" s="9"/>
      <c r="F57" s="9"/>
      <c r="G57" s="10"/>
      <c r="H57" s="9"/>
      <c r="I57" s="27">
        <f>+I15-I54</f>
        <v>822.66597191868823</v>
      </c>
      <c r="J57" s="27">
        <f>+J15-J54</f>
        <v>1083.1156817418077</v>
      </c>
      <c r="K57" s="27">
        <f>+K15-K54</f>
        <v>1452.8968984774783</v>
      </c>
      <c r="L57" s="9"/>
      <c r="M57" s="218">
        <f>+M15-M54</f>
        <v>0</v>
      </c>
      <c r="AE57" s="8"/>
      <c r="AF57" s="8"/>
      <c r="AG57" s="8"/>
      <c r="AH57" s="8"/>
      <c r="AI57" s="8"/>
      <c r="AJ57" s="8"/>
      <c r="AK57" s="8"/>
    </row>
    <row r="58" spans="1:42" ht="4.5" customHeight="1">
      <c r="A58" s="14"/>
      <c r="B58" s="14"/>
      <c r="C58" s="14"/>
      <c r="D58" s="14"/>
      <c r="E58" s="14"/>
      <c r="F58" s="14"/>
      <c r="G58" s="15"/>
      <c r="H58" s="14"/>
      <c r="I58" s="18"/>
      <c r="J58" s="18"/>
      <c r="K58" s="18"/>
      <c r="L58" s="14"/>
      <c r="M58" s="14"/>
      <c r="AE58" s="8"/>
      <c r="AF58" s="8"/>
      <c r="AG58" s="8"/>
      <c r="AH58" s="8"/>
      <c r="AI58" s="8"/>
      <c r="AJ58" s="8"/>
      <c r="AK58" s="8"/>
    </row>
    <row r="59" spans="1:42" s="5" customFormat="1" ht="15" customHeight="1">
      <c r="A59" s="28"/>
      <c r="B59" s="28"/>
      <c r="C59" s="28"/>
      <c r="D59" s="28"/>
      <c r="E59" s="28"/>
      <c r="F59" s="28"/>
      <c r="G59" s="29"/>
      <c r="H59" s="28"/>
      <c r="I59" s="244"/>
      <c r="J59" s="244"/>
      <c r="K59" s="244"/>
      <c r="L59" s="28"/>
      <c r="M59" s="28"/>
      <c r="N59" s="32"/>
      <c r="O59" s="32"/>
      <c r="P59" s="32"/>
      <c r="Q59" s="33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4"/>
      <c r="AF59" s="34"/>
      <c r="AG59" s="34"/>
      <c r="AH59" s="34"/>
      <c r="AI59" s="34"/>
      <c r="AJ59" s="34"/>
      <c r="AK59" s="34"/>
      <c r="AL59" s="32"/>
      <c r="AM59" s="32"/>
      <c r="AN59" s="32"/>
      <c r="AO59" s="32"/>
      <c r="AP59" s="32"/>
    </row>
    <row r="60" spans="1:42" ht="15" customHeight="1">
      <c r="A60" s="11" t="s">
        <v>143</v>
      </c>
      <c r="B60" s="9"/>
      <c r="C60" s="9"/>
      <c r="D60" s="9"/>
      <c r="E60" s="9"/>
      <c r="F60" s="9"/>
      <c r="G60" s="10"/>
      <c r="H60" s="9"/>
      <c r="I60" s="16">
        <f>+I15/(I6/100)</f>
        <v>24.962857142857143</v>
      </c>
      <c r="J60" s="16">
        <f>+J15/(J6/100)</f>
        <v>24.811249999999998</v>
      </c>
      <c r="K60" s="16">
        <f>+K15/(K6/100)</f>
        <v>24.693333333333332</v>
      </c>
      <c r="L60" s="9"/>
      <c r="M60" s="219">
        <f>IF(M6&gt;0,M15/(M6/100),0)</f>
        <v>0</v>
      </c>
      <c r="AE60" s="8"/>
      <c r="AF60" s="8"/>
      <c r="AG60" s="8"/>
      <c r="AH60" s="8"/>
      <c r="AI60" s="8"/>
      <c r="AJ60" s="8"/>
      <c r="AK60" s="8"/>
    </row>
    <row r="61" spans="1:42" ht="15" customHeight="1">
      <c r="A61" s="11" t="s">
        <v>144</v>
      </c>
      <c r="B61" s="9"/>
      <c r="C61" s="9"/>
      <c r="D61" s="9"/>
      <c r="E61" s="9"/>
      <c r="F61" s="9"/>
      <c r="G61" s="10"/>
      <c r="H61" s="9"/>
      <c r="I61" s="16">
        <f>+I30/(I6/100)</f>
        <v>7.5706330676064972</v>
      </c>
      <c r="J61" s="16">
        <f>+J30/(J6/100)</f>
        <v>7.6461596946821562</v>
      </c>
      <c r="K61" s="16">
        <f>+K30/(K6/100)</f>
        <v>7.3079109532408193</v>
      </c>
      <c r="L61" s="9"/>
      <c r="M61" s="219">
        <f>IF(M6&gt;0,M30/(M6/100),0)</f>
        <v>0</v>
      </c>
      <c r="AE61" s="8"/>
      <c r="AF61" s="8"/>
      <c r="AG61" s="8"/>
      <c r="AH61" s="8"/>
      <c r="AI61" s="8"/>
      <c r="AJ61" s="8"/>
      <c r="AK61" s="8"/>
    </row>
    <row r="62" spans="1:42" ht="15" customHeight="1">
      <c r="A62" s="11" t="s">
        <v>145</v>
      </c>
      <c r="B62" s="9"/>
      <c r="C62" s="9"/>
      <c r="D62" s="9"/>
      <c r="E62" s="9"/>
      <c r="F62" s="9"/>
      <c r="G62" s="10"/>
      <c r="H62" s="9"/>
      <c r="I62" s="16">
        <f>+I44/(I6/100)</f>
        <v>14.019188586101484</v>
      </c>
      <c r="J62" s="16">
        <f>+J44/(J6/100)</f>
        <v>13.968041221909134</v>
      </c>
      <c r="K62" s="16">
        <f>+K44/(K6/100)</f>
        <v>13.523328431564893</v>
      </c>
      <c r="L62" s="9"/>
      <c r="M62" s="219">
        <f>IF(M6&gt;0,M44/(M6/100),0)</f>
        <v>0</v>
      </c>
      <c r="AE62" s="8"/>
      <c r="AF62" s="8"/>
      <c r="AG62" s="8"/>
      <c r="AH62" s="8"/>
      <c r="AI62" s="8"/>
      <c r="AJ62" s="8"/>
      <c r="AK62" s="8"/>
    </row>
    <row r="63" spans="1:42" ht="15" customHeight="1">
      <c r="A63" s="11" t="s">
        <v>146</v>
      </c>
      <c r="B63" s="9"/>
      <c r="C63" s="9"/>
      <c r="D63" s="9"/>
      <c r="E63" s="9"/>
      <c r="F63" s="9"/>
      <c r="G63" s="10"/>
      <c r="H63" s="9"/>
      <c r="I63" s="16">
        <f>+I54/(I6/100)</f>
        <v>21.045400133720531</v>
      </c>
      <c r="J63" s="16">
        <f>+J54/(J6/100)</f>
        <v>20.298267992742467</v>
      </c>
      <c r="K63" s="16">
        <f>+K54/(K6/100)</f>
        <v>19.312233709342671</v>
      </c>
      <c r="L63" s="9"/>
      <c r="M63" s="219">
        <f>IF(M6&gt;0,M54/(M6/100),0)</f>
        <v>0</v>
      </c>
      <c r="AE63" s="8"/>
      <c r="AF63" s="8"/>
      <c r="AG63" s="8"/>
      <c r="AH63" s="8"/>
      <c r="AI63" s="8"/>
      <c r="AJ63" s="8"/>
      <c r="AK63" s="8"/>
    </row>
    <row r="64" spans="1:42" ht="4.5" customHeight="1">
      <c r="A64" s="14"/>
      <c r="B64" s="14"/>
      <c r="C64" s="14"/>
      <c r="D64" s="14"/>
      <c r="E64" s="14"/>
      <c r="F64" s="14"/>
      <c r="G64" s="15"/>
      <c r="H64" s="14"/>
      <c r="I64" s="14"/>
      <c r="J64" s="14"/>
      <c r="K64" s="14"/>
      <c r="L64" s="14"/>
      <c r="M64" s="14"/>
      <c r="AE64" s="8"/>
      <c r="AF64" s="8"/>
      <c r="AG64" s="8"/>
      <c r="AH64" s="8"/>
      <c r="AI64" s="8"/>
      <c r="AJ64" s="8"/>
      <c r="AK64" s="8"/>
    </row>
    <row r="65" spans="1:37" ht="1.5" customHeight="1">
      <c r="A65" s="9"/>
      <c r="B65" s="9"/>
      <c r="C65" s="9"/>
      <c r="D65" s="9"/>
      <c r="E65" s="9"/>
      <c r="F65" s="9"/>
      <c r="G65" s="10"/>
      <c r="H65" s="9"/>
      <c r="I65" s="9"/>
      <c r="J65" s="9"/>
      <c r="K65" s="9"/>
      <c r="L65" s="9"/>
      <c r="M65" s="9"/>
      <c r="AE65" s="8"/>
      <c r="AF65" s="8"/>
      <c r="AG65" s="8"/>
      <c r="AH65" s="8"/>
      <c r="AI65" s="8"/>
      <c r="AJ65" s="8"/>
      <c r="AK65" s="8"/>
    </row>
    <row r="66" spans="1:37" ht="15" customHeight="1">
      <c r="A66" s="38">
        <v>1</v>
      </c>
      <c r="B66" s="37" t="s">
        <v>65</v>
      </c>
      <c r="C66" s="37"/>
      <c r="D66" s="37"/>
      <c r="E66" s="37"/>
      <c r="F66" s="37"/>
      <c r="G66" s="37"/>
      <c r="H66" s="39"/>
      <c r="I66" s="37"/>
      <c r="J66" s="37"/>
      <c r="K66" s="37"/>
      <c r="L66" s="37"/>
      <c r="M66" s="37"/>
      <c r="N66" s="40"/>
      <c r="AB66" s="40"/>
      <c r="AC66" s="40"/>
      <c r="AD66" s="40"/>
      <c r="AE66" s="8"/>
      <c r="AF66" s="8"/>
      <c r="AG66" s="8"/>
      <c r="AH66" s="8"/>
      <c r="AI66" s="8"/>
      <c r="AJ66" s="8"/>
      <c r="AK66" s="8"/>
    </row>
    <row r="67" spans="1:37" ht="15" customHeight="1">
      <c r="A67" s="38"/>
      <c r="B67" s="37"/>
      <c r="C67" s="37" t="s">
        <v>142</v>
      </c>
      <c r="D67" s="37"/>
      <c r="E67" s="37"/>
      <c r="F67" s="37"/>
      <c r="G67" s="37"/>
      <c r="H67" s="39"/>
      <c r="I67" s="37"/>
      <c r="J67" s="37"/>
      <c r="K67" s="37"/>
      <c r="L67" s="37"/>
      <c r="M67" s="37"/>
      <c r="N67" s="40"/>
      <c r="AB67" s="40"/>
      <c r="AC67" s="40"/>
      <c r="AD67" s="40"/>
      <c r="AE67" s="8"/>
      <c r="AF67" s="8"/>
      <c r="AG67" s="8"/>
      <c r="AH67" s="8"/>
      <c r="AI67" s="8"/>
      <c r="AJ67" s="8"/>
      <c r="AK67" s="8"/>
    </row>
    <row r="68" spans="1:37" ht="15" customHeight="1">
      <c r="A68" s="38"/>
      <c r="B68" s="37"/>
      <c r="C68" s="37" t="s">
        <v>69</v>
      </c>
      <c r="D68" s="37"/>
      <c r="E68" s="37"/>
      <c r="F68" s="37"/>
      <c r="G68" s="37"/>
      <c r="H68" s="39"/>
      <c r="I68" s="37"/>
      <c r="J68" s="37"/>
      <c r="K68" s="37"/>
      <c r="L68" s="37"/>
      <c r="M68" s="37"/>
      <c r="N68" s="40"/>
      <c r="AB68" s="40"/>
      <c r="AC68" s="40"/>
      <c r="AD68" s="40"/>
      <c r="AE68" s="8"/>
      <c r="AF68" s="8"/>
      <c r="AG68" s="8"/>
      <c r="AH68" s="8"/>
      <c r="AI68" s="8"/>
      <c r="AJ68" s="8"/>
      <c r="AK68" s="8"/>
    </row>
    <row r="69" spans="1:37" ht="15" customHeight="1">
      <c r="A69" s="38"/>
      <c r="B69" s="37"/>
      <c r="C69" s="37" t="s">
        <v>118</v>
      </c>
      <c r="D69" s="37"/>
      <c r="E69" s="37"/>
      <c r="F69" s="37"/>
      <c r="G69" s="37"/>
      <c r="H69" s="39"/>
      <c r="I69" s="37"/>
      <c r="J69" s="37"/>
      <c r="K69" s="37"/>
      <c r="L69" s="37"/>
      <c r="M69" s="37"/>
      <c r="N69" s="40"/>
      <c r="AB69" s="40"/>
      <c r="AC69" s="40"/>
      <c r="AD69" s="40"/>
      <c r="AE69" s="8"/>
      <c r="AF69" s="8"/>
      <c r="AG69" s="8"/>
      <c r="AH69" s="8"/>
      <c r="AI69" s="8"/>
      <c r="AJ69" s="8"/>
      <c r="AK69" s="8"/>
    </row>
    <row r="70" spans="1:37" ht="15" customHeight="1">
      <c r="A70" s="41">
        <v>2</v>
      </c>
      <c r="B70" s="2" t="s">
        <v>129</v>
      </c>
      <c r="C70" s="2"/>
      <c r="D70" s="2"/>
      <c r="E70" s="2"/>
      <c r="I70" s="1"/>
      <c r="J70" s="1"/>
      <c r="K70" s="1"/>
      <c r="L70" s="1"/>
      <c r="M70" s="1"/>
      <c r="N70" s="2"/>
      <c r="O70" s="2"/>
      <c r="P70" s="2"/>
      <c r="Q70" s="42"/>
      <c r="R70" s="2"/>
      <c r="S70" s="2"/>
      <c r="T70" s="2"/>
      <c r="U70" s="2"/>
      <c r="V70" s="2"/>
      <c r="W70" s="2"/>
      <c r="X70" s="2"/>
      <c r="Y70" s="2"/>
      <c r="Z70" s="2"/>
      <c r="AA70" s="2"/>
      <c r="AB70" s="43"/>
      <c r="AC70" s="43"/>
      <c r="AD70" s="40"/>
      <c r="AE70" s="8"/>
      <c r="AF70" s="8"/>
      <c r="AG70" s="8"/>
      <c r="AH70" s="8"/>
      <c r="AI70" s="8"/>
      <c r="AJ70" s="8"/>
    </row>
    <row r="71" spans="1:37" ht="15" customHeight="1">
      <c r="A71" s="41"/>
      <c r="B71" s="44"/>
      <c r="C71" s="2" t="s">
        <v>130</v>
      </c>
      <c r="D71" s="2"/>
      <c r="E71" s="2"/>
      <c r="N71" s="2"/>
      <c r="O71" s="2"/>
      <c r="P71" s="2"/>
      <c r="Q71" s="42"/>
      <c r="R71" s="2"/>
      <c r="S71" s="2"/>
      <c r="T71" s="2"/>
      <c r="U71" s="2"/>
      <c r="V71" s="2"/>
      <c r="W71" s="2"/>
      <c r="X71" s="2"/>
      <c r="Y71" s="2"/>
      <c r="Z71" s="2"/>
      <c r="AA71" s="2"/>
      <c r="AB71" s="43"/>
      <c r="AC71" s="43"/>
      <c r="AD71" s="43"/>
      <c r="AE71" s="8"/>
      <c r="AF71" s="8"/>
      <c r="AG71" s="8"/>
      <c r="AH71" s="8"/>
      <c r="AI71" s="8"/>
      <c r="AJ71" s="8"/>
    </row>
    <row r="72" spans="1:37" ht="15" customHeight="1">
      <c r="A72" s="41">
        <v>3</v>
      </c>
      <c r="B72" s="2" t="s">
        <v>131</v>
      </c>
      <c r="C72" s="70"/>
      <c r="D72" s="70"/>
      <c r="E72" s="70"/>
      <c r="N72" s="2"/>
      <c r="O72" s="2"/>
      <c r="P72" s="2"/>
      <c r="Q72" s="42"/>
      <c r="R72" s="2"/>
      <c r="S72" s="2"/>
      <c r="T72" s="2"/>
      <c r="U72" s="2"/>
      <c r="V72" s="2"/>
      <c r="W72" s="2"/>
      <c r="X72" s="2"/>
      <c r="Y72" s="2"/>
      <c r="Z72" s="2"/>
      <c r="AA72" s="2"/>
      <c r="AB72" s="43"/>
      <c r="AC72" s="43"/>
      <c r="AD72" s="43"/>
    </row>
    <row r="73" spans="1:37" ht="15" customHeight="1">
      <c r="A73" s="41"/>
      <c r="B73" s="2"/>
      <c r="C73" s="70" t="s">
        <v>66</v>
      </c>
      <c r="D73" s="70"/>
      <c r="E73" s="70"/>
      <c r="N73" s="2"/>
      <c r="O73" s="2"/>
      <c r="P73" s="2"/>
      <c r="Q73" s="42"/>
      <c r="R73" s="2"/>
      <c r="S73" s="2"/>
      <c r="T73" s="2"/>
      <c r="U73" s="2"/>
      <c r="V73" s="2"/>
      <c r="W73" s="2"/>
      <c r="X73" s="2"/>
      <c r="Y73" s="2"/>
      <c r="Z73" s="2"/>
      <c r="AA73" s="2"/>
      <c r="AB73" s="43"/>
      <c r="AC73" s="43"/>
      <c r="AD73" s="43"/>
    </row>
    <row r="74" spans="1:37" ht="15" customHeight="1">
      <c r="A74" s="41">
        <v>4</v>
      </c>
      <c r="B74" s="2" t="s">
        <v>35</v>
      </c>
      <c r="C74" s="2"/>
      <c r="D74" s="2"/>
      <c r="E74" s="2"/>
      <c r="O74" s="2"/>
      <c r="P74" s="2"/>
      <c r="Q74" s="42"/>
      <c r="R74" s="2"/>
      <c r="S74" s="2"/>
      <c r="T74" s="2"/>
      <c r="U74" s="2"/>
      <c r="V74" s="2"/>
      <c r="W74" s="2"/>
      <c r="X74" s="2"/>
      <c r="Y74" s="2"/>
      <c r="Z74" s="2"/>
      <c r="AA74" s="2"/>
      <c r="AB74" s="43"/>
      <c r="AC74" s="43"/>
      <c r="AD74" s="40"/>
    </row>
    <row r="75" spans="1:37" ht="15" customHeight="1">
      <c r="A75" s="41"/>
      <c r="B75" s="44"/>
      <c r="C75" s="2" t="s">
        <v>36</v>
      </c>
      <c r="D75" s="2"/>
      <c r="E75" s="2"/>
      <c r="O75" s="2"/>
      <c r="P75" s="2"/>
      <c r="Q75" s="42"/>
      <c r="R75" s="2"/>
      <c r="S75" s="2"/>
      <c r="T75" s="2"/>
      <c r="U75" s="2"/>
      <c r="V75" s="2"/>
      <c r="W75" s="2"/>
      <c r="X75" s="2"/>
      <c r="Y75" s="2"/>
      <c r="Z75" s="2"/>
      <c r="AA75" s="2"/>
      <c r="AB75" s="43"/>
      <c r="AC75" s="43"/>
      <c r="AD75" s="40"/>
    </row>
    <row r="76" spans="1:37" ht="15" customHeight="1">
      <c r="A76" s="41"/>
      <c r="B76" s="44"/>
      <c r="C76" s="2" t="s">
        <v>119</v>
      </c>
      <c r="D76" s="76"/>
      <c r="E76" s="76"/>
      <c r="U76" s="2"/>
      <c r="V76" s="2"/>
      <c r="W76" s="2"/>
      <c r="X76" s="2"/>
      <c r="Y76" s="2"/>
      <c r="Z76" s="2"/>
      <c r="AA76" s="2"/>
      <c r="AB76" s="43"/>
      <c r="AC76" s="43"/>
      <c r="AD76" s="40"/>
    </row>
    <row r="77" spans="1:37" ht="15" customHeight="1">
      <c r="A77" s="41">
        <v>5</v>
      </c>
      <c r="B77" s="2" t="s">
        <v>50</v>
      </c>
      <c r="C77" s="2"/>
      <c r="D77" s="2"/>
      <c r="E77" s="2"/>
      <c r="F77" s="2"/>
      <c r="G77" s="2"/>
      <c r="H77" s="42"/>
      <c r="I77" s="2"/>
      <c r="J77" s="2"/>
      <c r="U77" s="2"/>
      <c r="V77" s="2"/>
      <c r="W77" s="2"/>
      <c r="X77" s="2"/>
      <c r="Y77" s="2"/>
      <c r="Z77" s="2"/>
      <c r="AA77" s="2"/>
      <c r="AB77" s="43"/>
      <c r="AC77" s="43"/>
      <c r="AD77" s="40"/>
    </row>
    <row r="78" spans="1:37" ht="12" customHeight="1">
      <c r="A78" s="41"/>
      <c r="B78" s="44"/>
      <c r="C78" s="2" t="s">
        <v>51</v>
      </c>
      <c r="D78" s="2"/>
      <c r="E78" s="2"/>
      <c r="F78" s="2"/>
      <c r="G78" s="2"/>
      <c r="H78" s="42"/>
      <c r="I78" s="2"/>
      <c r="J78" s="2"/>
      <c r="K78" s="223" t="s">
        <v>163</v>
      </c>
      <c r="U78" s="2"/>
      <c r="V78" s="2"/>
      <c r="W78" s="2"/>
      <c r="X78" s="2"/>
      <c r="Y78" s="2"/>
      <c r="Z78" s="2"/>
      <c r="AA78" s="2"/>
      <c r="AB78" s="43"/>
      <c r="AC78" s="43"/>
      <c r="AD78" s="40"/>
    </row>
    <row r="79" spans="1:37" ht="15" customHeight="1">
      <c r="A79" s="41"/>
      <c r="B79" s="2"/>
      <c r="C79" s="2"/>
      <c r="D79" s="2"/>
      <c r="E79" s="2"/>
      <c r="F79" s="2"/>
      <c r="G79" s="241" t="s">
        <v>164</v>
      </c>
      <c r="H79" s="241"/>
      <c r="I79" s="241"/>
      <c r="J79" s="241"/>
      <c r="K79" s="241"/>
      <c r="U79" s="2"/>
      <c r="V79" s="2"/>
      <c r="W79" s="2"/>
      <c r="X79" s="2"/>
      <c r="Y79" s="2"/>
      <c r="Z79" s="2"/>
      <c r="AA79" s="2"/>
      <c r="AB79" s="43"/>
      <c r="AC79" s="43"/>
      <c r="AD79" s="40"/>
    </row>
    <row r="80" spans="1:37" ht="15" customHeight="1">
      <c r="A80" s="41"/>
      <c r="B80" s="2"/>
      <c r="C80" s="2"/>
      <c r="D80" s="2"/>
      <c r="E80" s="2"/>
      <c r="F80" s="2"/>
      <c r="G80" s="106"/>
      <c r="H80" s="45">
        <v>21000</v>
      </c>
      <c r="I80" s="45">
        <v>24000</v>
      </c>
      <c r="J80" s="45">
        <v>27000</v>
      </c>
      <c r="K80" s="224">
        <f>IF(M6&gt;0,M6,0)</f>
        <v>0</v>
      </c>
      <c r="U80" s="2"/>
      <c r="V80" s="2"/>
      <c r="W80" s="2"/>
      <c r="X80" s="2"/>
      <c r="Y80" s="2"/>
      <c r="Z80" s="2"/>
      <c r="AA80" s="2"/>
      <c r="AB80" s="43"/>
      <c r="AC80" s="43"/>
      <c r="AD80" s="40"/>
    </row>
    <row r="81" spans="1:30" ht="6" customHeight="1">
      <c r="A81" s="41"/>
      <c r="B81" s="2"/>
      <c r="C81" s="2"/>
      <c r="D81" s="2"/>
      <c r="E81" s="2"/>
      <c r="F81" s="2"/>
      <c r="G81" s="106"/>
      <c r="H81" s="47"/>
      <c r="I81" s="46"/>
      <c r="J81" s="46"/>
      <c r="K81" s="225"/>
      <c r="U81" s="2"/>
      <c r="V81" s="2"/>
      <c r="W81" s="2"/>
      <c r="X81" s="2"/>
      <c r="Y81" s="2"/>
      <c r="Z81" s="2"/>
      <c r="AA81" s="2"/>
      <c r="AB81" s="43"/>
      <c r="AC81" s="43"/>
      <c r="AD81" s="40"/>
    </row>
    <row r="82" spans="1:30" ht="15" customHeight="1">
      <c r="A82" s="41"/>
      <c r="E82" s="2" t="s">
        <v>26</v>
      </c>
      <c r="F82" s="2"/>
      <c r="G82" s="48"/>
      <c r="H82" s="221">
        <v>200</v>
      </c>
      <c r="I82" s="221">
        <v>250</v>
      </c>
      <c r="J82" s="221">
        <v>300</v>
      </c>
      <c r="K82" s="225">
        <v>0</v>
      </c>
      <c r="U82" s="2"/>
      <c r="V82" s="2"/>
      <c r="W82" s="2"/>
      <c r="X82" s="2"/>
      <c r="Y82" s="2"/>
      <c r="Z82" s="2"/>
      <c r="AA82" s="2"/>
      <c r="AB82" s="43"/>
      <c r="AC82" s="43"/>
      <c r="AD82" s="40"/>
    </row>
    <row r="83" spans="1:30" ht="14.25" customHeight="1">
      <c r="A83" s="41"/>
      <c r="E83" s="2" t="s">
        <v>27</v>
      </c>
      <c r="F83" s="2"/>
      <c r="G83" s="48"/>
      <c r="H83" s="221">
        <v>1500</v>
      </c>
      <c r="I83" s="221">
        <v>1750</v>
      </c>
      <c r="J83" s="221">
        <v>2000</v>
      </c>
      <c r="K83" s="225">
        <v>0</v>
      </c>
      <c r="S83" s="2"/>
      <c r="T83" s="2"/>
      <c r="U83" s="2"/>
      <c r="V83" s="2"/>
      <c r="W83" s="2"/>
      <c r="X83" s="2"/>
      <c r="Y83" s="2"/>
      <c r="Z83" s="2"/>
      <c r="AA83" s="2"/>
      <c r="AB83" s="43"/>
      <c r="AC83" s="43"/>
      <c r="AD83" s="40"/>
    </row>
    <row r="84" spans="1:30" ht="6.75" customHeight="1">
      <c r="O84" s="2"/>
      <c r="P84" s="2"/>
      <c r="Q84" s="42"/>
      <c r="R84" s="2"/>
      <c r="S84" s="2"/>
      <c r="T84" s="2"/>
      <c r="U84" s="2"/>
      <c r="V84" s="2"/>
      <c r="W84" s="2"/>
      <c r="X84" s="2"/>
      <c r="Y84" s="2"/>
      <c r="Z84" s="2"/>
      <c r="AA84" s="2"/>
      <c r="AB84" s="43"/>
      <c r="AC84" s="43"/>
      <c r="AD84" s="40"/>
    </row>
    <row r="85" spans="1:30" ht="15" customHeight="1">
      <c r="A85" s="41">
        <v>6</v>
      </c>
      <c r="B85" s="2" t="s">
        <v>132</v>
      </c>
      <c r="C85" s="2"/>
      <c r="D85" s="2"/>
      <c r="E85" s="2"/>
      <c r="O85" s="2"/>
      <c r="P85" s="2"/>
      <c r="Q85" s="42"/>
      <c r="R85" s="2"/>
      <c r="S85" s="2"/>
      <c r="T85" s="2"/>
      <c r="U85" s="2"/>
      <c r="V85" s="2"/>
      <c r="W85" s="2"/>
      <c r="X85" s="2"/>
      <c r="Y85" s="2"/>
      <c r="Z85" s="2"/>
      <c r="AA85" s="2"/>
      <c r="AB85" s="43"/>
      <c r="AC85" s="43"/>
      <c r="AD85" s="40"/>
    </row>
    <row r="86" spans="1:30" ht="15" customHeight="1">
      <c r="A86" s="41"/>
      <c r="B86" s="44"/>
      <c r="C86" s="2" t="s">
        <v>68</v>
      </c>
      <c r="D86" s="2"/>
      <c r="E86" s="2"/>
      <c r="O86" s="2"/>
      <c r="P86" s="2"/>
      <c r="Q86" s="42"/>
      <c r="R86" s="2"/>
      <c r="S86" s="2"/>
      <c r="T86" s="2"/>
      <c r="U86" s="2"/>
      <c r="V86" s="2"/>
      <c r="W86" s="2"/>
      <c r="X86" s="2"/>
      <c r="Y86" s="2"/>
      <c r="Z86" s="2"/>
      <c r="AA86" s="2"/>
      <c r="AB86" s="43"/>
      <c r="AC86" s="43"/>
      <c r="AD86" s="40"/>
    </row>
    <row r="87" spans="1:30" ht="15" customHeight="1">
      <c r="A87" s="41">
        <v>7</v>
      </c>
      <c r="B87" s="2" t="s">
        <v>133</v>
      </c>
      <c r="C87" s="2"/>
      <c r="O87" s="2"/>
      <c r="P87" s="2"/>
      <c r="Q87" s="42"/>
      <c r="R87" s="2"/>
      <c r="S87" s="2"/>
      <c r="T87" s="2"/>
      <c r="U87" s="2"/>
      <c r="V87" s="2"/>
      <c r="W87" s="2"/>
      <c r="X87" s="2"/>
      <c r="Y87" s="2"/>
      <c r="Z87" s="2"/>
      <c r="AA87" s="2"/>
      <c r="AB87" s="43"/>
      <c r="AC87" s="43"/>
      <c r="AD87" s="40"/>
    </row>
    <row r="88" spans="1:30" ht="15" customHeight="1">
      <c r="A88" s="49"/>
      <c r="B88" s="50"/>
      <c r="C88" s="2" t="s">
        <v>134</v>
      </c>
      <c r="O88" s="2"/>
      <c r="P88" s="2"/>
      <c r="Q88" s="42"/>
      <c r="R88" s="2"/>
      <c r="S88" s="2"/>
      <c r="T88" s="2"/>
      <c r="U88" s="2"/>
      <c r="V88" s="2"/>
      <c r="W88" s="2"/>
      <c r="X88" s="2"/>
      <c r="Y88" s="2"/>
      <c r="Z88" s="2"/>
      <c r="AA88" s="2"/>
      <c r="AB88" s="43"/>
      <c r="AC88" s="43"/>
      <c r="AD88" s="40"/>
    </row>
    <row r="89" spans="1:30" ht="13.5" customHeight="1">
      <c r="A89" s="49"/>
      <c r="B89" s="50"/>
      <c r="C89" s="2" t="s">
        <v>67</v>
      </c>
      <c r="N89" s="51"/>
      <c r="O89" s="51"/>
      <c r="P89" s="51"/>
      <c r="Q89" s="52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3"/>
      <c r="AC89" s="53"/>
      <c r="AD89" s="54"/>
    </row>
    <row r="90" spans="1:30" ht="13.5" customHeight="1">
      <c r="A90" s="49"/>
      <c r="B90" s="50"/>
      <c r="C90" s="2" t="s">
        <v>148</v>
      </c>
      <c r="N90" s="51"/>
      <c r="O90" s="51"/>
      <c r="P90" s="51"/>
      <c r="Q90" s="52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3"/>
      <c r="AC90" s="53"/>
      <c r="AD90" s="54"/>
    </row>
    <row r="91" spans="1:30" ht="13.5" customHeight="1">
      <c r="A91" s="49"/>
      <c r="B91" s="50"/>
      <c r="C91" s="2" t="s">
        <v>160</v>
      </c>
      <c r="N91" s="51"/>
      <c r="O91" s="51"/>
      <c r="P91" s="51"/>
      <c r="Q91" s="52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3"/>
      <c r="AC91" s="53"/>
      <c r="AD91" s="54"/>
    </row>
    <row r="92" spans="1:30" ht="13.5" customHeight="1">
      <c r="C92" s="2" t="s">
        <v>58</v>
      </c>
      <c r="N92" s="82"/>
      <c r="O92" s="82"/>
      <c r="P92" s="82"/>
      <c r="Q92" s="242"/>
      <c r="R92" s="242"/>
      <c r="S92" s="84"/>
      <c r="T92" s="242"/>
      <c r="U92" s="242"/>
      <c r="V92" s="84"/>
      <c r="W92" s="242"/>
      <c r="X92" s="242"/>
      <c r="Y92" s="85"/>
      <c r="Z92" s="242"/>
      <c r="AA92" s="242"/>
      <c r="AB92" s="53"/>
      <c r="AC92" s="53"/>
      <c r="AD92" s="54"/>
    </row>
    <row r="93" spans="1:30" ht="13.5" customHeight="1">
      <c r="A93" s="108" t="s">
        <v>77</v>
      </c>
      <c r="B93" s="70" t="s">
        <v>135</v>
      </c>
      <c r="C93" s="2"/>
      <c r="N93" s="82"/>
      <c r="O93" s="82"/>
      <c r="P93" s="82"/>
      <c r="Q93" s="83"/>
      <c r="R93" s="83"/>
      <c r="S93" s="84"/>
      <c r="T93" s="83"/>
      <c r="U93" s="83"/>
      <c r="V93" s="84"/>
      <c r="W93" s="83"/>
      <c r="X93" s="83"/>
      <c r="Y93" s="85"/>
      <c r="Z93" s="83"/>
      <c r="AA93" s="83"/>
      <c r="AB93" s="53"/>
      <c r="AC93" s="53"/>
      <c r="AD93" s="54"/>
    </row>
    <row r="94" spans="1:30" ht="13.5" customHeight="1">
      <c r="A94" s="95">
        <v>8</v>
      </c>
      <c r="B94" s="2" t="s">
        <v>56</v>
      </c>
      <c r="C94" s="76"/>
      <c r="N94" s="82"/>
      <c r="O94" s="82"/>
      <c r="P94" s="82"/>
      <c r="Q94" s="83"/>
      <c r="R94" s="83"/>
      <c r="S94" s="84"/>
      <c r="T94" s="83"/>
      <c r="U94" s="83"/>
      <c r="V94" s="84"/>
      <c r="W94" s="83"/>
      <c r="X94" s="83"/>
      <c r="Y94" s="85"/>
      <c r="Z94" s="83"/>
      <c r="AA94" s="83"/>
      <c r="AB94" s="53"/>
      <c r="AC94" s="53"/>
      <c r="AD94" s="54"/>
    </row>
    <row r="95" spans="1:30" ht="13.5" customHeight="1">
      <c r="A95" s="95"/>
      <c r="B95" s="2"/>
      <c r="C95" s="2" t="s">
        <v>136</v>
      </c>
      <c r="N95" s="82"/>
      <c r="O95" s="82"/>
      <c r="P95" s="82"/>
      <c r="Q95" s="83"/>
      <c r="R95" s="83"/>
      <c r="S95" s="84"/>
      <c r="T95" s="83"/>
      <c r="U95" s="83"/>
      <c r="V95" s="84"/>
      <c r="W95" s="83"/>
      <c r="X95" s="83"/>
      <c r="Y95" s="85"/>
      <c r="Z95" s="83"/>
      <c r="AA95" s="83"/>
      <c r="AB95" s="53"/>
      <c r="AC95" s="53"/>
      <c r="AD95" s="54"/>
    </row>
    <row r="96" spans="1:30" ht="13.5" customHeight="1">
      <c r="A96" s="95">
        <v>9</v>
      </c>
      <c r="B96" s="2" t="s">
        <v>63</v>
      </c>
      <c r="C96" s="76"/>
      <c r="N96" s="82"/>
      <c r="O96" s="82"/>
      <c r="P96" s="82"/>
      <c r="Q96" s="83"/>
      <c r="R96" s="83"/>
      <c r="S96" s="84"/>
      <c r="T96" s="83"/>
      <c r="U96" s="83"/>
      <c r="V96" s="84"/>
      <c r="W96" s="83"/>
      <c r="X96" s="83"/>
      <c r="Y96" s="85"/>
      <c r="Z96" s="83"/>
      <c r="AA96" s="83"/>
      <c r="AB96" s="53"/>
      <c r="AC96" s="53"/>
      <c r="AD96" s="54"/>
    </row>
    <row r="97" spans="1:31" ht="13.5" customHeight="1">
      <c r="A97" s="95"/>
      <c r="B97" s="76"/>
      <c r="C97" s="2" t="s">
        <v>64</v>
      </c>
      <c r="N97" s="82"/>
      <c r="O97" s="82"/>
      <c r="P97" s="82"/>
      <c r="Q97" s="83"/>
      <c r="R97" s="83"/>
      <c r="S97" s="84"/>
      <c r="T97" s="83"/>
      <c r="U97" s="83"/>
      <c r="V97" s="84"/>
      <c r="W97" s="83"/>
      <c r="X97" s="83"/>
      <c r="Y97" s="85"/>
      <c r="Z97" s="83"/>
      <c r="AA97" s="83"/>
      <c r="AB97" s="53"/>
      <c r="AC97" s="53"/>
      <c r="AD97" s="54"/>
    </row>
    <row r="98" spans="1:31" ht="13.5" customHeight="1">
      <c r="A98" s="95"/>
      <c r="B98" s="76"/>
      <c r="C98" s="2" t="s">
        <v>62</v>
      </c>
      <c r="N98" s="82"/>
      <c r="O98" s="82"/>
      <c r="P98" s="82"/>
      <c r="Q98" s="83"/>
      <c r="R98" s="83"/>
      <c r="S98" s="84"/>
      <c r="T98" s="83"/>
      <c r="U98" s="83"/>
      <c r="V98" s="84"/>
      <c r="W98" s="83"/>
      <c r="X98" s="83"/>
      <c r="Y98" s="85"/>
      <c r="Z98" s="83"/>
      <c r="AA98" s="83"/>
      <c r="AB98" s="53"/>
      <c r="AC98" s="53"/>
      <c r="AD98" s="54"/>
    </row>
    <row r="99" spans="1:31" ht="13.5" customHeight="1">
      <c r="A99" s="95"/>
      <c r="B99" s="76"/>
      <c r="C99" s="2" t="s">
        <v>52</v>
      </c>
      <c r="N99" s="82"/>
      <c r="O99" s="82"/>
      <c r="P99" s="82"/>
      <c r="Q99" s="83"/>
      <c r="R99" s="83"/>
      <c r="S99" s="84"/>
      <c r="T99" s="83"/>
      <c r="U99" s="83"/>
      <c r="V99" s="84"/>
      <c r="W99" s="83"/>
      <c r="X99" s="83"/>
      <c r="Y99" s="85"/>
      <c r="Z99" s="83"/>
      <c r="AA99" s="83"/>
      <c r="AB99" s="53"/>
      <c r="AC99" s="53"/>
      <c r="AD99" s="54"/>
    </row>
    <row r="100" spans="1:31" ht="13.5" customHeight="1">
      <c r="A100" s="95">
        <v>10</v>
      </c>
      <c r="B100" s="2" t="s">
        <v>72</v>
      </c>
      <c r="C100" s="76"/>
      <c r="N100" s="82"/>
      <c r="O100" s="82"/>
      <c r="P100" s="82"/>
      <c r="Q100" s="83"/>
      <c r="R100" s="83"/>
      <c r="S100" s="84"/>
      <c r="T100" s="83"/>
      <c r="U100" s="83"/>
      <c r="V100" s="84"/>
      <c r="W100" s="83"/>
      <c r="X100" s="83"/>
      <c r="Y100" s="85"/>
      <c r="Z100" s="83"/>
      <c r="AA100" s="83"/>
      <c r="AB100" s="53"/>
      <c r="AC100" s="53"/>
      <c r="AD100" s="54"/>
    </row>
    <row r="101" spans="1:31" ht="13.5" customHeight="1">
      <c r="A101" s="95">
        <v>11</v>
      </c>
      <c r="B101" s="2" t="s">
        <v>78</v>
      </c>
      <c r="C101" s="76"/>
      <c r="N101" s="82"/>
      <c r="O101" s="82"/>
      <c r="P101" s="82"/>
      <c r="Q101" s="83"/>
      <c r="R101" s="83"/>
      <c r="S101" s="84"/>
      <c r="T101" s="83"/>
      <c r="U101" s="83"/>
      <c r="V101" s="84"/>
      <c r="W101" s="83"/>
      <c r="X101" s="83"/>
      <c r="Y101" s="85"/>
      <c r="Z101" s="83"/>
      <c r="AA101" s="83"/>
      <c r="AB101" s="53"/>
      <c r="AC101" s="53"/>
      <c r="AD101" s="54"/>
    </row>
    <row r="102" spans="1:31" ht="15" customHeight="1">
      <c r="A102" s="41" t="s">
        <v>53</v>
      </c>
      <c r="B102" s="2" t="s">
        <v>61</v>
      </c>
      <c r="N102" s="85"/>
      <c r="O102" s="87"/>
      <c r="P102" s="85"/>
      <c r="Q102" s="86"/>
      <c r="R102" s="88"/>
      <c r="S102" s="88"/>
      <c r="T102" s="86"/>
      <c r="U102" s="88"/>
      <c r="V102" s="88"/>
      <c r="W102" s="86"/>
      <c r="X102" s="88"/>
      <c r="Y102" s="88"/>
      <c r="Z102" s="86"/>
      <c r="AA102" s="88"/>
      <c r="AB102" s="58">
        <v>1.31</v>
      </c>
      <c r="AC102" s="59"/>
      <c r="AD102" s="59"/>
      <c r="AE102" s="8"/>
    </row>
    <row r="103" spans="1:31" ht="15" customHeight="1">
      <c r="A103" s="41">
        <v>12</v>
      </c>
      <c r="B103" s="70" t="s">
        <v>57</v>
      </c>
      <c r="C103" s="70"/>
      <c r="N103" s="85"/>
      <c r="O103" s="87"/>
      <c r="P103" s="85"/>
      <c r="Q103" s="86"/>
      <c r="R103" s="88"/>
      <c r="S103" s="88"/>
      <c r="T103" s="86"/>
      <c r="U103" s="88"/>
      <c r="V103" s="88"/>
      <c r="W103" s="86"/>
      <c r="X103" s="88"/>
      <c r="Y103" s="88"/>
      <c r="Z103" s="86"/>
      <c r="AA103" s="88"/>
      <c r="AB103" s="61">
        <v>2.2999999999999998</v>
      </c>
      <c r="AC103" s="59"/>
      <c r="AD103" s="60"/>
    </row>
    <row r="104" spans="1:31" ht="15" customHeight="1">
      <c r="A104" s="41"/>
      <c r="B104" s="13"/>
      <c r="C104" s="73" t="s">
        <v>59</v>
      </c>
      <c r="N104" s="85"/>
      <c r="O104" s="87"/>
      <c r="P104" s="85"/>
      <c r="Q104" s="89"/>
      <c r="R104" s="90"/>
      <c r="S104" s="91"/>
      <c r="T104" s="89"/>
      <c r="U104" s="90"/>
      <c r="V104" s="91"/>
      <c r="W104" s="89"/>
      <c r="X104" s="90"/>
      <c r="Y104" s="91"/>
      <c r="Z104" s="89"/>
      <c r="AA104" s="90"/>
      <c r="AB104" s="61">
        <v>15.6</v>
      </c>
      <c r="AC104" s="59"/>
      <c r="AD104" s="60"/>
    </row>
    <row r="105" spans="1:31" ht="15" customHeight="1">
      <c r="A105" s="41">
        <v>13</v>
      </c>
      <c r="B105" s="2" t="s">
        <v>79</v>
      </c>
      <c r="C105" s="2"/>
      <c r="N105" s="85"/>
      <c r="O105" s="85"/>
      <c r="P105" s="85"/>
      <c r="Q105" s="89"/>
      <c r="R105" s="90"/>
      <c r="S105" s="92"/>
      <c r="T105" s="89"/>
      <c r="U105" s="90"/>
      <c r="V105" s="92"/>
      <c r="W105" s="89"/>
      <c r="X105" s="90"/>
      <c r="Y105" s="92"/>
      <c r="Z105" s="89"/>
      <c r="AA105" s="90"/>
      <c r="AB105" s="62">
        <v>20.100000000000001</v>
      </c>
      <c r="AC105" s="59"/>
      <c r="AD105" s="60"/>
    </row>
    <row r="106" spans="1:31" ht="15" customHeight="1">
      <c r="A106" s="41"/>
      <c r="B106" s="2"/>
      <c r="C106" s="2" t="s">
        <v>54</v>
      </c>
      <c r="N106" s="85"/>
      <c r="O106" s="85"/>
      <c r="P106" s="85"/>
      <c r="Q106" s="89"/>
      <c r="R106" s="90"/>
      <c r="S106" s="92"/>
      <c r="T106" s="89"/>
      <c r="U106" s="90"/>
      <c r="V106" s="92"/>
      <c r="W106" s="89"/>
      <c r="X106" s="90"/>
      <c r="Y106" s="92"/>
      <c r="Z106" s="89"/>
      <c r="AA106" s="90"/>
      <c r="AB106" s="62"/>
      <c r="AC106" s="59"/>
      <c r="AD106" s="60"/>
    </row>
    <row r="107" spans="1:31" ht="15" customHeight="1">
      <c r="A107" s="41">
        <v>14</v>
      </c>
      <c r="B107" s="2" t="s">
        <v>115</v>
      </c>
      <c r="C107" s="2"/>
      <c r="N107" s="85"/>
      <c r="O107" s="85"/>
      <c r="P107" s="85"/>
      <c r="Q107" s="89"/>
      <c r="R107" s="90"/>
      <c r="S107" s="92"/>
      <c r="T107" s="89"/>
      <c r="U107" s="90"/>
      <c r="V107" s="92"/>
      <c r="W107" s="89"/>
      <c r="X107" s="90"/>
      <c r="Y107" s="92"/>
      <c r="Z107" s="89"/>
      <c r="AA107" s="90"/>
      <c r="AB107" s="62"/>
      <c r="AC107" s="59"/>
      <c r="AD107" s="60"/>
    </row>
    <row r="108" spans="1:31" ht="15" customHeight="1">
      <c r="A108" s="41">
        <v>15</v>
      </c>
      <c r="B108" s="2" t="s">
        <v>115</v>
      </c>
      <c r="C108" s="2"/>
      <c r="N108" s="85"/>
      <c r="O108" s="85"/>
      <c r="P108" s="85"/>
      <c r="Q108" s="89"/>
      <c r="R108" s="90"/>
      <c r="S108" s="92"/>
      <c r="T108" s="89"/>
      <c r="U108" s="90"/>
      <c r="V108" s="92"/>
      <c r="W108" s="89"/>
      <c r="X108" s="90"/>
      <c r="Y108" s="92"/>
      <c r="Z108" s="89"/>
      <c r="AA108" s="90"/>
      <c r="AB108" s="62"/>
      <c r="AC108" s="59"/>
      <c r="AD108" s="60"/>
    </row>
    <row r="109" spans="1:31" ht="15" customHeight="1">
      <c r="A109" s="41">
        <v>16</v>
      </c>
      <c r="B109" s="2" t="s">
        <v>22</v>
      </c>
      <c r="C109" s="2"/>
      <c r="N109" s="85"/>
      <c r="O109" s="85"/>
      <c r="P109" s="85"/>
      <c r="Q109" s="89"/>
      <c r="R109" s="90"/>
      <c r="S109" s="92"/>
      <c r="T109" s="89"/>
      <c r="U109" s="90"/>
      <c r="V109" s="92"/>
      <c r="W109" s="89"/>
      <c r="X109" s="90"/>
      <c r="Y109" s="92"/>
      <c r="Z109" s="89"/>
      <c r="AA109" s="90"/>
      <c r="AB109" s="62">
        <v>19</v>
      </c>
      <c r="AC109" s="59"/>
      <c r="AD109" s="60"/>
    </row>
    <row r="110" spans="1:31" ht="15" customHeight="1">
      <c r="A110" s="2" t="s">
        <v>116</v>
      </c>
      <c r="B110" s="2"/>
      <c r="N110" s="85"/>
      <c r="O110" s="86"/>
      <c r="P110" s="85"/>
      <c r="Q110" s="89"/>
      <c r="R110" s="90"/>
      <c r="S110" s="92"/>
      <c r="T110" s="89"/>
      <c r="U110" s="90"/>
      <c r="V110" s="92"/>
      <c r="W110" s="89"/>
      <c r="X110" s="90"/>
      <c r="Y110" s="92"/>
      <c r="Z110" s="89"/>
      <c r="AA110" s="90"/>
      <c r="AB110" s="62">
        <v>19</v>
      </c>
      <c r="AC110" s="59"/>
      <c r="AD110" s="60"/>
    </row>
    <row r="111" spans="1:31" ht="15" customHeight="1">
      <c r="A111" s="2" t="s">
        <v>117</v>
      </c>
      <c r="B111" s="2"/>
      <c r="N111" s="85"/>
      <c r="O111" s="86"/>
      <c r="P111" s="85"/>
      <c r="Q111" s="89"/>
      <c r="R111" s="90"/>
      <c r="S111" s="92"/>
      <c r="T111" s="89"/>
      <c r="U111" s="90"/>
      <c r="V111" s="92"/>
      <c r="W111" s="89"/>
      <c r="X111" s="90"/>
      <c r="Y111" s="92"/>
      <c r="Z111" s="89"/>
      <c r="AA111" s="90"/>
      <c r="AB111" s="62">
        <v>67.3</v>
      </c>
      <c r="AC111" s="59"/>
      <c r="AD111" s="60"/>
    </row>
    <row r="112" spans="1:31" ht="15" customHeight="1">
      <c r="A112" s="66"/>
      <c r="B112" s="40"/>
      <c r="C112" s="37"/>
      <c r="N112" s="85"/>
      <c r="O112" s="85"/>
      <c r="P112" s="85"/>
      <c r="Q112" s="89"/>
      <c r="R112" s="90"/>
      <c r="S112" s="92"/>
      <c r="T112" s="89"/>
      <c r="U112" s="90"/>
      <c r="V112" s="92"/>
      <c r="W112" s="89"/>
      <c r="X112" s="90"/>
      <c r="Y112" s="92"/>
      <c r="Z112" s="89"/>
      <c r="AA112" s="90"/>
      <c r="AB112" s="62">
        <v>4.5</v>
      </c>
      <c r="AC112" s="59"/>
      <c r="AD112" s="60"/>
    </row>
    <row r="113" spans="1:30" ht="15" customHeight="1">
      <c r="A113" s="66"/>
      <c r="B113" s="40"/>
      <c r="C113" s="37"/>
      <c r="N113" s="85"/>
      <c r="O113" s="85"/>
      <c r="P113" s="85"/>
      <c r="Q113" s="89"/>
      <c r="R113" s="90"/>
      <c r="S113" s="92"/>
      <c r="T113" s="89"/>
      <c r="U113" s="90"/>
      <c r="V113" s="92"/>
      <c r="W113" s="89"/>
      <c r="X113" s="90"/>
      <c r="Y113" s="92"/>
      <c r="Z113" s="89"/>
      <c r="AA113" s="90"/>
      <c r="AB113" s="62"/>
      <c r="AC113" s="59"/>
      <c r="AD113" s="60"/>
    </row>
    <row r="114" spans="1:30" ht="15" customHeight="1">
      <c r="A114" s="41"/>
      <c r="B114" s="2"/>
      <c r="C114" s="2"/>
      <c r="N114" s="85"/>
      <c r="O114" s="85"/>
      <c r="P114" s="85"/>
      <c r="Q114" s="89"/>
      <c r="R114" s="90"/>
      <c r="S114" s="92"/>
      <c r="T114" s="89"/>
      <c r="U114" s="90"/>
      <c r="V114" s="92"/>
      <c r="W114" s="89"/>
      <c r="X114" s="90"/>
      <c r="Y114" s="92"/>
      <c r="Z114" s="89"/>
      <c r="AA114" s="90"/>
      <c r="AB114" s="62"/>
      <c r="AC114" s="59"/>
      <c r="AD114" s="60"/>
    </row>
    <row r="115" spans="1:30" ht="15" customHeight="1">
      <c r="A115" s="41"/>
      <c r="B115" s="44"/>
      <c r="C115" s="2"/>
      <c r="N115" s="85"/>
      <c r="O115" s="85"/>
      <c r="P115" s="85"/>
      <c r="Q115" s="89"/>
      <c r="R115" s="93"/>
      <c r="S115" s="94"/>
      <c r="T115" s="89"/>
      <c r="U115" s="89"/>
      <c r="V115" s="94"/>
      <c r="W115" s="89"/>
      <c r="X115" s="93"/>
      <c r="Y115" s="94"/>
      <c r="Z115" s="89"/>
      <c r="AA115" s="93"/>
      <c r="AB115" s="64">
        <v>23</v>
      </c>
      <c r="AC115" s="59"/>
      <c r="AD115" s="60"/>
    </row>
    <row r="116" spans="1:30" ht="15" customHeight="1">
      <c r="A116" s="41"/>
      <c r="B116" s="44"/>
      <c r="C116" s="2"/>
      <c r="N116" s="2"/>
      <c r="O116" s="2"/>
      <c r="P116" s="2"/>
      <c r="Q116" s="4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43"/>
      <c r="AC116" s="43"/>
      <c r="AD116" s="40"/>
    </row>
    <row r="117" spans="1:30" ht="15" customHeight="1">
      <c r="A117" s="41"/>
      <c r="B117" s="44"/>
      <c r="C117" s="2"/>
      <c r="N117" s="2"/>
      <c r="O117" s="2"/>
      <c r="P117" s="2"/>
      <c r="Q117" s="4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43"/>
      <c r="AC117" s="43"/>
      <c r="AD117" s="40"/>
    </row>
    <row r="118" spans="1:30" ht="15" customHeight="1">
      <c r="A118" s="41"/>
      <c r="B118" s="69"/>
      <c r="C118" s="69"/>
      <c r="N118" s="70"/>
      <c r="O118" s="2"/>
      <c r="P118" s="3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43"/>
      <c r="AC118" s="43"/>
      <c r="AD118" s="40"/>
    </row>
    <row r="119" spans="1:30" ht="15" customHeight="1">
      <c r="A119" s="41"/>
      <c r="B119" s="69"/>
      <c r="C119" s="69"/>
      <c r="N119" s="73"/>
      <c r="O119"/>
      <c r="P119" s="4"/>
      <c r="Q119"/>
      <c r="R119"/>
      <c r="S119" s="1"/>
      <c r="T119" s="1"/>
      <c r="U119" s="2"/>
      <c r="V119" s="2"/>
      <c r="W119" s="2"/>
      <c r="X119" s="2"/>
      <c r="Y119" s="2"/>
      <c r="Z119" s="2"/>
      <c r="AA119" s="2"/>
      <c r="AB119" s="43"/>
      <c r="AC119" s="43"/>
      <c r="AD119" s="40"/>
    </row>
    <row r="120" spans="1:30" ht="15" customHeight="1">
      <c r="A120" s="35"/>
      <c r="B120" s="13"/>
      <c r="C120" s="2"/>
      <c r="N120" s="70"/>
      <c r="O120"/>
      <c r="P120" s="4"/>
      <c r="Q120"/>
      <c r="R120"/>
      <c r="S120"/>
      <c r="T120"/>
      <c r="U120" s="2"/>
      <c r="V120" s="2"/>
      <c r="W120" s="2"/>
      <c r="X120" s="2"/>
      <c r="Y120" s="2"/>
      <c r="Z120" s="2"/>
      <c r="AA120" s="2"/>
      <c r="AB120" s="43"/>
      <c r="AC120" s="43"/>
      <c r="AD120" s="40"/>
    </row>
    <row r="121" spans="1:30" ht="15" customHeight="1">
      <c r="A121" s="41"/>
      <c r="B121" s="44"/>
      <c r="C121" s="2"/>
      <c r="N121" s="70"/>
      <c r="O121"/>
      <c r="P121" s="4"/>
      <c r="Q121"/>
      <c r="R121"/>
      <c r="S121"/>
      <c r="T121"/>
      <c r="U121" s="2"/>
      <c r="V121" s="2"/>
      <c r="W121" s="2"/>
      <c r="X121" s="2"/>
      <c r="Y121" s="2"/>
      <c r="Z121" s="2"/>
      <c r="AA121" s="2"/>
      <c r="AB121" s="43"/>
      <c r="AC121" s="43"/>
      <c r="AD121" s="40"/>
    </row>
    <row r="122" spans="1:30" ht="15" customHeight="1">
      <c r="A122" s="41"/>
      <c r="B122" s="44"/>
      <c r="C122" s="2"/>
      <c r="N122" s="2"/>
      <c r="O122" s="2"/>
      <c r="P122" s="2"/>
      <c r="Q122" s="4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43"/>
      <c r="AC122" s="43"/>
      <c r="AD122" s="40"/>
    </row>
    <row r="123" spans="1:30" ht="15" customHeight="1">
      <c r="A123" s="41"/>
      <c r="B123" s="69"/>
      <c r="C123" s="68"/>
      <c r="N123" s="2"/>
      <c r="O123" s="2"/>
      <c r="P123" s="2"/>
      <c r="Q123" s="4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43"/>
      <c r="AC123" s="43"/>
      <c r="AD123" s="40"/>
    </row>
    <row r="124" spans="1:30" ht="15" customHeight="1">
      <c r="A124" s="41"/>
      <c r="B124" s="69"/>
      <c r="C124" s="69"/>
      <c r="N124" s="2"/>
      <c r="O124" s="2"/>
      <c r="P124" s="2"/>
      <c r="Q124" s="4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43"/>
      <c r="AC124" s="43"/>
      <c r="AD124" s="40"/>
    </row>
    <row r="125" spans="1:30" ht="15" customHeight="1">
      <c r="A125" s="35"/>
      <c r="B125" s="13"/>
      <c r="C125" s="2"/>
      <c r="N125" s="2"/>
      <c r="O125" s="2"/>
      <c r="P125" s="2"/>
      <c r="Q125" s="4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43"/>
      <c r="AC125" s="43"/>
      <c r="AD125" s="40"/>
    </row>
    <row r="126" spans="1:30" ht="15" customHeight="1">
      <c r="A126" s="41"/>
      <c r="B126" s="44"/>
      <c r="C126" s="2"/>
      <c r="N126" s="36"/>
      <c r="O126" s="36"/>
      <c r="P126" s="36"/>
      <c r="Q126" s="65"/>
      <c r="R126" s="36"/>
      <c r="S126" s="36"/>
      <c r="T126" s="36"/>
      <c r="U126" s="37"/>
      <c r="V126" s="37"/>
      <c r="W126" s="37"/>
      <c r="X126" s="2"/>
      <c r="Y126" s="2"/>
      <c r="Z126" s="2"/>
      <c r="AA126" s="2"/>
      <c r="AB126" s="43"/>
      <c r="AC126" s="43"/>
      <c r="AD126" s="40"/>
    </row>
    <row r="127" spans="1:30" ht="15" customHeight="1">
      <c r="A127" s="41"/>
      <c r="B127" s="44"/>
      <c r="C127" s="2"/>
      <c r="N127" s="37"/>
      <c r="O127" s="37"/>
      <c r="P127" s="37"/>
      <c r="Q127" s="67"/>
      <c r="R127" s="37"/>
      <c r="S127" s="37"/>
      <c r="T127" s="37"/>
      <c r="U127" s="37"/>
      <c r="V127" s="37"/>
      <c r="W127" s="37"/>
      <c r="X127" s="2"/>
      <c r="Y127" s="2"/>
      <c r="Z127" s="2"/>
      <c r="AA127" s="2"/>
      <c r="AB127" s="43"/>
      <c r="AC127" s="43"/>
      <c r="AD127" s="40"/>
    </row>
    <row r="128" spans="1:30" ht="15" customHeight="1">
      <c r="A128" s="41"/>
      <c r="B128" s="2"/>
      <c r="C128" s="2"/>
      <c r="N128" s="2"/>
      <c r="O128" s="2"/>
      <c r="P128" s="2"/>
      <c r="Q128" s="4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43"/>
      <c r="AC128" s="43"/>
      <c r="AD128" s="40"/>
    </row>
    <row r="129" spans="14:30" ht="15" customHeight="1">
      <c r="N129" s="2"/>
      <c r="O129" s="2"/>
      <c r="P129" s="2"/>
      <c r="Q129" s="4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43"/>
      <c r="AC129" s="43"/>
      <c r="AD129" s="40"/>
    </row>
    <row r="130" spans="14:30" ht="15" customHeight="1">
      <c r="N130" s="2"/>
      <c r="O130" s="2"/>
      <c r="P130" s="2"/>
      <c r="Q130" s="4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43"/>
      <c r="AC130" s="43"/>
      <c r="AD130" s="40"/>
    </row>
    <row r="131" spans="14:30" ht="15" customHeight="1">
      <c r="N131" s="2"/>
      <c r="O131" s="2"/>
      <c r="P131" s="2"/>
      <c r="Q131" s="4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43"/>
      <c r="AC131" s="43"/>
      <c r="AD131" s="40"/>
    </row>
    <row r="132" spans="14:30" ht="15" customHeight="1">
      <c r="N132" s="69"/>
      <c r="O132" s="70"/>
      <c r="P132" s="70"/>
      <c r="Q132" s="70"/>
      <c r="R132" s="70"/>
      <c r="S132" s="70"/>
      <c r="T132" s="70"/>
      <c r="U132" s="70"/>
      <c r="V132" s="70"/>
      <c r="W132" s="70"/>
      <c r="X132" s="70"/>
      <c r="Y132" s="2"/>
      <c r="Z132" s="2"/>
      <c r="AA132" s="2"/>
      <c r="AB132" s="43"/>
      <c r="AC132" s="43"/>
      <c r="AD132" s="40"/>
    </row>
    <row r="133" spans="14:30" ht="15" customHeight="1">
      <c r="N133" s="69"/>
      <c r="O133" s="69"/>
      <c r="P133" s="70"/>
      <c r="Q133" s="70"/>
      <c r="R133" s="70"/>
      <c r="S133" s="70"/>
      <c r="T133" s="40"/>
      <c r="U133" s="40"/>
      <c r="V133" s="40"/>
      <c r="W133" s="40"/>
      <c r="X133" s="40"/>
      <c r="Y133" s="2"/>
      <c r="Z133" s="2"/>
      <c r="AA133" s="2"/>
      <c r="AB133" s="43"/>
      <c r="AC133" s="43"/>
      <c r="AD133" s="40"/>
    </row>
    <row r="134" spans="14:30" ht="15" customHeight="1">
      <c r="N134" s="2"/>
      <c r="O134" s="2"/>
      <c r="P134" s="2"/>
      <c r="Q134" s="4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43"/>
      <c r="AC134" s="43"/>
      <c r="AD134" s="40"/>
    </row>
    <row r="135" spans="14:30" ht="15" customHeight="1">
      <c r="N135" s="2"/>
      <c r="O135" s="2"/>
      <c r="P135" s="2"/>
      <c r="Q135" s="4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43"/>
      <c r="AC135" s="43"/>
      <c r="AD135" s="40"/>
    </row>
    <row r="136" spans="14:30" ht="15" customHeight="1">
      <c r="N136" s="2"/>
      <c r="O136" s="2"/>
      <c r="P136" s="2"/>
      <c r="Q136" s="4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43"/>
      <c r="AC136" s="43"/>
      <c r="AD136" s="40"/>
    </row>
    <row r="137" spans="14:30" ht="15" customHeight="1">
      <c r="N137" s="68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2"/>
      <c r="AB137" s="43"/>
      <c r="AC137" s="43"/>
      <c r="AD137" s="40"/>
    </row>
    <row r="138" spans="14:30" ht="15" customHeight="1">
      <c r="N138" s="69"/>
      <c r="O138" s="69"/>
      <c r="P138" s="70"/>
      <c r="Q138" s="70"/>
      <c r="R138" s="70"/>
      <c r="S138" s="70"/>
      <c r="T138" s="40"/>
      <c r="U138" s="40"/>
      <c r="V138" s="40"/>
      <c r="W138" s="40"/>
      <c r="X138" s="40"/>
      <c r="Y138" s="40"/>
      <c r="Z138" s="40"/>
      <c r="AA138" s="2"/>
      <c r="AB138" s="43"/>
      <c r="AC138" s="43"/>
      <c r="AD138" s="40"/>
    </row>
    <row r="139" spans="14:30" ht="15" customHeight="1">
      <c r="N139" s="2"/>
      <c r="O139" s="2"/>
      <c r="P139" s="2"/>
      <c r="Q139" s="4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43"/>
      <c r="AC139" s="43"/>
      <c r="AD139" s="40"/>
    </row>
    <row r="140" spans="14:30" ht="15" customHeight="1">
      <c r="N140" s="2"/>
      <c r="O140" s="2"/>
      <c r="P140" s="2"/>
      <c r="Q140" s="4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43"/>
      <c r="AC140" s="43"/>
      <c r="AD140" s="40"/>
    </row>
    <row r="141" spans="14:30" ht="15" customHeight="1">
      <c r="N141" s="2"/>
      <c r="O141" s="2"/>
      <c r="P141" s="2"/>
      <c r="Q141" s="4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43"/>
      <c r="AC141" s="43"/>
      <c r="AD141" s="40"/>
    </row>
    <row r="142" spans="14:30" ht="15" customHeight="1">
      <c r="N142" s="2"/>
      <c r="O142" s="2"/>
      <c r="P142" s="2"/>
      <c r="Q142" s="42"/>
      <c r="R142" s="2"/>
      <c r="S142" s="2"/>
      <c r="T142" s="2"/>
      <c r="U142" s="43"/>
      <c r="V142" s="43"/>
      <c r="W142" s="43"/>
      <c r="X142" s="43"/>
      <c r="Y142" s="43"/>
      <c r="Z142" s="43"/>
      <c r="AA142" s="43"/>
      <c r="AB142" s="43"/>
      <c r="AC142" s="43"/>
      <c r="AD142" s="40"/>
    </row>
    <row r="143" spans="14:30" ht="15" customHeight="1">
      <c r="N143" s="9"/>
      <c r="O143" s="9"/>
      <c r="P143" s="9"/>
      <c r="Q143" s="16"/>
      <c r="R143" s="9"/>
      <c r="S143" s="9"/>
      <c r="T143" s="9"/>
      <c r="U143" s="8"/>
      <c r="V143" s="8"/>
      <c r="W143" s="8"/>
      <c r="X143" s="8"/>
      <c r="Y143" s="8"/>
      <c r="Z143" s="8"/>
      <c r="AA143" s="8"/>
      <c r="AB143" s="8"/>
      <c r="AC143" s="8"/>
    </row>
    <row r="144" spans="14:30" ht="15" customHeight="1">
      <c r="N144" s="8"/>
      <c r="O144" s="8"/>
      <c r="P144" s="8"/>
      <c r="Q144" s="30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</row>
    <row r="145" spans="1:30">
      <c r="N145" s="8"/>
      <c r="O145" s="8"/>
      <c r="P145" s="8"/>
      <c r="Q145" s="30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</row>
    <row r="147" spans="1:30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1:30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30">
      <c r="G149"/>
    </row>
    <row r="150" spans="1:30">
      <c r="G150"/>
    </row>
    <row r="151" spans="1:30">
      <c r="G151"/>
      <c r="N151" s="8"/>
      <c r="O151" s="8"/>
      <c r="P151" s="8"/>
      <c r="Q151" s="30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</row>
    <row r="152" spans="1:30">
      <c r="G152"/>
      <c r="N152" s="8"/>
      <c r="O152" s="8"/>
      <c r="P152" s="8"/>
      <c r="Q152" s="30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</row>
    <row r="153" spans="1:30">
      <c r="G153"/>
      <c r="N153" s="8"/>
      <c r="O153" s="8"/>
      <c r="P153" s="8"/>
      <c r="Q153" s="30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</row>
    <row r="154" spans="1:30">
      <c r="G154"/>
      <c r="N154" s="8"/>
      <c r="O154" s="8"/>
      <c r="P154" s="8"/>
      <c r="Q154" s="30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</row>
    <row r="155" spans="1:30">
      <c r="N155" s="8"/>
      <c r="O155" s="8"/>
      <c r="P155" s="8"/>
      <c r="Q155" s="30"/>
      <c r="R155" s="8"/>
      <c r="S155" s="8"/>
      <c r="T155" s="8"/>
      <c r="U155" s="8"/>
      <c r="V155" s="8"/>
    </row>
    <row r="156" spans="1:30">
      <c r="N156" s="9"/>
      <c r="O156" s="9"/>
      <c r="P156" s="9"/>
      <c r="Q156" s="16"/>
      <c r="R156" s="8"/>
      <c r="S156" s="8"/>
      <c r="U156" s="8"/>
      <c r="V156" s="8"/>
    </row>
    <row r="157" spans="1:30">
      <c r="N157" s="9"/>
      <c r="O157" s="9"/>
      <c r="P157" s="9"/>
      <c r="Q157" s="16"/>
      <c r="R157" s="8"/>
      <c r="S157" s="8"/>
    </row>
    <row r="158" spans="1:30">
      <c r="N158" s="9"/>
      <c r="O158" s="9"/>
      <c r="P158" s="9"/>
      <c r="Q158" s="16"/>
      <c r="R158" s="8"/>
      <c r="S158" s="8"/>
    </row>
    <row r="159" spans="1:30">
      <c r="N159" s="9"/>
      <c r="O159" s="9"/>
      <c r="P159" s="9"/>
      <c r="Q159" s="16"/>
      <c r="R159" s="8"/>
      <c r="S159" s="8"/>
    </row>
    <row r="160" spans="1:30">
      <c r="N160" s="9"/>
      <c r="O160" s="9"/>
      <c r="P160" s="9"/>
      <c r="Q160" s="16"/>
      <c r="R160" s="8"/>
      <c r="S160" s="8"/>
    </row>
    <row r="161" spans="14:19">
      <c r="N161" s="9"/>
      <c r="O161" s="9"/>
      <c r="P161" s="9"/>
      <c r="Q161" s="16"/>
      <c r="R161" s="8"/>
      <c r="S161" s="8"/>
    </row>
  </sheetData>
  <customSheetViews>
    <customSheetView guid="{BE39A69A-34AB-4A1C-BCB1-D33E82EEFA26}" showPageBreaks="1" fitToPage="1" printArea="1" view="pageBreakPreview" showRuler="0">
      <selection activeCell="J19" sqref="J19"/>
      <colBreaks count="1" manualBreakCount="1">
        <brk id="12" max="114" man="1"/>
      </colBreaks>
      <pageMargins left="0.5" right="0.5" top="0.49" bottom="0.5" header="0.5" footer="0.5"/>
      <printOptions horizontalCentered="1"/>
      <pageSetup scale="95" fitToHeight="0" orientation="portrait" r:id="rId1"/>
      <headerFooter alignWithMargins="0"/>
    </customSheetView>
    <customSheetView guid="{653D8C6C-C45C-4A2C-9F21-5ED08C5C1254}" showPageBreaks="1" fitToPage="1" printArea="1" view="pageBreakPreview" showRuler="0" topLeftCell="A4">
      <selection activeCell="I21" sqref="I21"/>
      <colBreaks count="1" manualBreakCount="1">
        <brk id="12" max="118" man="1"/>
      </colBreaks>
      <pageMargins left="0.5" right="0.5" top="0.49" bottom="0.5" header="0.5" footer="0.5"/>
      <printOptions horizontalCentered="1"/>
      <pageSetup scale="95" fitToHeight="0" orientation="portrait" horizontalDpi="300" verticalDpi="4294967292" r:id="rId2"/>
      <headerFooter alignWithMargins="0"/>
    </customSheetView>
    <customSheetView guid="{EF795EF6-BAEC-44FA-96C5-B85C8CF6A75F}" printArea="1">
      <selection activeCell="D1" sqref="D1:E1"/>
      <pageMargins left="0.5" right="0.5" top="0.49" bottom="0.5" header="0.5" footer="0.5"/>
      <printOptions horizontalCentered="1"/>
      <pageSetup scale="76" orientation="portrait" horizontalDpi="300" verticalDpi="4294967292" r:id="rId3"/>
      <headerFooter alignWithMargins="0"/>
    </customSheetView>
    <customSheetView guid="{A384C8E6-E615-4524-92F7-AAA97CEA51CA}" showRuler="0">
      <selection activeCell="N4" sqref="N4"/>
      <rowBreaks count="1" manualBreakCount="1">
        <brk id="74" max="32" man="1"/>
      </rowBreaks>
      <colBreaks count="1" manualBreakCount="1">
        <brk id="13" max="131" man="1"/>
      </colBreaks>
      <pageMargins left="0.5" right="0.5" top="0.49" bottom="0.5" header="0.5" footer="0.5"/>
      <printOptions horizontalCentered="1"/>
      <pageSetup scale="76" orientation="portrait" horizontalDpi="300" verticalDpi="4294967292" r:id="rId4"/>
      <headerFooter alignWithMargins="0"/>
    </customSheetView>
    <customSheetView guid="{4AD55AF8-0F2E-4AC2-BF62-C82318D88CF4}">
      <selection activeCell="N5" sqref="N5"/>
      <pageMargins left="0.5" right="0.5" top="0.49" bottom="0.5" header="0.5" footer="0.5"/>
      <printOptions horizontalCentered="1"/>
      <pageSetup scale="76" orientation="portrait" horizontalDpi="300" verticalDpi="4294967292" r:id="rId5"/>
      <headerFooter alignWithMargins="0"/>
    </customSheetView>
    <customSheetView guid="{47165A6A-348F-4A9A-9FCB-8E7A26C3DE18}" showPageBreaks="1" printArea="1">
      <selection activeCell="G14" sqref="G14"/>
      <pageMargins left="0.5" right="0.5" top="0.49" bottom="0.5" header="0.5" footer="0.5"/>
      <printOptions horizontalCentered="1"/>
      <pageSetup scale="76" orientation="portrait" horizontalDpi="300" verticalDpi="4294967292" r:id="rId6"/>
      <headerFooter alignWithMargins="0"/>
    </customSheetView>
  </customSheetViews>
  <mergeCells count="11">
    <mergeCell ref="G5:H5"/>
    <mergeCell ref="G6:H6"/>
    <mergeCell ref="G79:K79"/>
    <mergeCell ref="W92:X92"/>
    <mergeCell ref="Z92:AA92"/>
    <mergeCell ref="I5:K5"/>
    <mergeCell ref="I59:K59"/>
    <mergeCell ref="Q92:R92"/>
    <mergeCell ref="T92:U92"/>
    <mergeCell ref="P11:X11"/>
    <mergeCell ref="P12:X12"/>
  </mergeCells>
  <phoneticPr fontId="0" type="noConversion"/>
  <hyperlinks>
    <hyperlink ref="O18" location="Introduction!A1" display="Back to Front Page"/>
  </hyperlinks>
  <printOptions horizontalCentered="1"/>
  <pageMargins left="0.5" right="0.5" top="0.49" bottom="0.5" header="0.5" footer="0.5"/>
  <pageSetup scale="95" fitToHeight="0" orientation="portrait" r:id="rId7"/>
  <headerFooter alignWithMargins="0"/>
  <colBreaks count="1" manualBreakCount="1">
    <brk id="12" max="114" man="1"/>
  </colBreaks>
  <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01"/>
  <sheetViews>
    <sheetView workbookViewId="0">
      <selection activeCell="F3" sqref="F3"/>
    </sheetView>
  </sheetViews>
  <sheetFormatPr defaultRowHeight="12.5"/>
  <cols>
    <col min="5" max="5" width="2.54296875" customWidth="1"/>
    <col min="6" max="6" width="14.26953125" customWidth="1"/>
    <col min="8" max="8" width="13.54296875" customWidth="1"/>
    <col min="10" max="10" width="13.81640625" customWidth="1"/>
    <col min="12" max="12" width="10.1796875" customWidth="1"/>
    <col min="15" max="15" width="14.1796875" customWidth="1"/>
  </cols>
  <sheetData>
    <row r="2" spans="1:16" ht="13">
      <c r="F2" s="238" t="s">
        <v>174</v>
      </c>
      <c r="G2" s="184"/>
      <c r="H2" s="184"/>
      <c r="I2" s="184"/>
      <c r="J2" s="184"/>
      <c r="K2" s="184"/>
      <c r="O2" s="167" t="s">
        <v>163</v>
      </c>
    </row>
    <row r="3" spans="1:16" ht="13">
      <c r="F3" s="233">
        <v>21000</v>
      </c>
      <c r="G3" s="234"/>
      <c r="H3" s="233">
        <v>24000</v>
      </c>
      <c r="I3" s="234"/>
      <c r="J3" s="233">
        <v>27000</v>
      </c>
      <c r="K3" s="234"/>
    </row>
    <row r="4" spans="1:16" ht="14.25" customHeight="1">
      <c r="A4" s="186" t="s">
        <v>18</v>
      </c>
      <c r="B4" s="186"/>
      <c r="C4" s="186" t="s">
        <v>19</v>
      </c>
      <c r="D4" s="186" t="s">
        <v>20</v>
      </c>
      <c r="E4" s="185"/>
      <c r="F4" s="235" t="s">
        <v>149</v>
      </c>
      <c r="G4" s="236" t="s">
        <v>152</v>
      </c>
      <c r="H4" s="235" t="s">
        <v>149</v>
      </c>
      <c r="I4" s="236" t="s">
        <v>152</v>
      </c>
      <c r="J4" s="235" t="s">
        <v>149</v>
      </c>
      <c r="K4" s="236" t="s">
        <v>152</v>
      </c>
      <c r="L4" s="235" t="s">
        <v>150</v>
      </c>
      <c r="M4" s="237" t="s">
        <v>153</v>
      </c>
      <c r="O4" s="235" t="s">
        <v>149</v>
      </c>
      <c r="P4" s="236" t="s">
        <v>152</v>
      </c>
    </row>
    <row r="5" spans="1:16" ht="3" hidden="1" customHeight="1">
      <c r="A5" s="55"/>
      <c r="B5" s="55"/>
      <c r="C5" s="55"/>
      <c r="D5" s="55"/>
      <c r="E5" s="56"/>
      <c r="F5" s="187"/>
      <c r="G5" s="187"/>
      <c r="H5" s="187"/>
      <c r="I5" s="187"/>
      <c r="J5" s="187"/>
      <c r="K5" s="187"/>
      <c r="L5" s="188"/>
      <c r="M5" s="188"/>
      <c r="O5" s="187"/>
      <c r="P5" s="187"/>
    </row>
    <row r="6" spans="1:16" ht="13.5" customHeight="1">
      <c r="A6" s="2"/>
      <c r="B6" s="2"/>
      <c r="C6" s="2"/>
      <c r="D6" s="2"/>
      <c r="E6" s="57"/>
      <c r="F6" s="189" t="s">
        <v>151</v>
      </c>
      <c r="G6" s="189" t="s">
        <v>158</v>
      </c>
      <c r="H6" s="189" t="s">
        <v>151</v>
      </c>
      <c r="I6" s="189" t="s">
        <v>158</v>
      </c>
      <c r="J6" s="189" t="s">
        <v>151</v>
      </c>
      <c r="K6" s="189" t="s">
        <v>158</v>
      </c>
      <c r="L6" s="190" t="s">
        <v>151</v>
      </c>
      <c r="M6" s="189" t="s">
        <v>158</v>
      </c>
      <c r="O6" s="189" t="s">
        <v>151</v>
      </c>
      <c r="P6" s="189" t="s">
        <v>158</v>
      </c>
    </row>
    <row r="7" spans="1:16" ht="13">
      <c r="A7" s="2" t="s">
        <v>21</v>
      </c>
      <c r="B7" s="2"/>
      <c r="C7" s="175">
        <f>Budget!G19</f>
        <v>168</v>
      </c>
      <c r="D7" s="2" t="s">
        <v>25</v>
      </c>
      <c r="E7" s="57"/>
      <c r="F7" s="226">
        <v>6</v>
      </c>
      <c r="G7" s="229">
        <f>(((((F7/0.88)*365)/2000)/0.95)*0.85)+($M$7*0.15)</f>
        <v>1.1798145933014352</v>
      </c>
      <c r="H7" s="231">
        <v>5</v>
      </c>
      <c r="I7" s="229">
        <f>(((((H7/0.88)*365)/2000)/0.95)*0.85)+($M$7*0.15)</f>
        <v>0.99425837320574173</v>
      </c>
      <c r="J7" s="226">
        <v>5.5</v>
      </c>
      <c r="K7" s="229">
        <f>(((((J7/0.88)*365)/2000)/0.95)*0.85)+($M$7*0.15)</f>
        <v>1.0870364832535886</v>
      </c>
      <c r="L7" s="227">
        <v>12.350000000000001</v>
      </c>
      <c r="M7" s="229">
        <f>(((((L7/0.88)*60)/2000)/0.95))</f>
        <v>0.44318181818181823</v>
      </c>
      <c r="O7" s="226">
        <v>0</v>
      </c>
      <c r="P7" s="229">
        <f>IF(O7&gt;0,(((((O7/0.88)*365)/2000)/0.95)*0.85)+($M$7*0.15),0)</f>
        <v>0</v>
      </c>
    </row>
    <row r="8" spans="1:16" ht="13">
      <c r="A8" s="2" t="s">
        <v>8</v>
      </c>
      <c r="B8" s="2"/>
      <c r="C8" s="175">
        <f>Budget!G20</f>
        <v>40.5</v>
      </c>
      <c r="D8" s="2" t="s">
        <v>25</v>
      </c>
      <c r="E8" s="57"/>
      <c r="F8" s="226">
        <v>24</v>
      </c>
      <c r="G8" s="229">
        <f>(((((F8/0.35)*365)/2000)/0.85)*0.85)+($M$8*0.15)</f>
        <v>12.630151260504201</v>
      </c>
      <c r="H8" s="226">
        <v>23</v>
      </c>
      <c r="I8" s="229">
        <f>(((((H8/0.35)*365)/2000)/0.85)*0.85)+($M$8*0.15)</f>
        <v>12.108722689075632</v>
      </c>
      <c r="J8" s="226">
        <v>22</v>
      </c>
      <c r="K8" s="229">
        <f>(((((J8/0.35)*365)/2000)/0.85)*0.85)+($M$8*0.15)</f>
        <v>11.58729411764706</v>
      </c>
      <c r="L8" s="227">
        <v>7.66</v>
      </c>
      <c r="M8" s="229">
        <f>(((((L8/0.35)*60)/2000)/0.85))</f>
        <v>0.77243697478991602</v>
      </c>
      <c r="O8" s="226">
        <v>0</v>
      </c>
      <c r="P8" s="229">
        <f>IF(O8&gt;0,(((((O8/0.35)*365)/2000)/0.85)*0.85)+($M$8*0.15),0)</f>
        <v>0</v>
      </c>
    </row>
    <row r="9" spans="1:16" ht="13">
      <c r="A9" s="2" t="s">
        <v>7</v>
      </c>
      <c r="B9" s="2"/>
      <c r="C9" s="175">
        <f>Budget!G21</f>
        <v>4.5</v>
      </c>
      <c r="D9" s="2" t="s">
        <v>38</v>
      </c>
      <c r="E9" s="63"/>
      <c r="F9" s="226">
        <v>11</v>
      </c>
      <c r="G9" s="229">
        <f>(((((F9/0.9)*365)/56)/0.98)*0.85)+($M$9*0.15)</f>
        <v>69.849570780693227</v>
      </c>
      <c r="H9" s="226">
        <v>9</v>
      </c>
      <c r="I9" s="229">
        <f>(((((H9/0.9)*365)/56)/0.98)*0.85)+($M$9*0.15)</f>
        <v>57.28680758017493</v>
      </c>
      <c r="J9" s="226">
        <v>12.192</v>
      </c>
      <c r="K9" s="229">
        <f>(((((J9/0.9)*365)/56)/0.98)*0.85)+($M$9*0.15)</f>
        <v>77.336977648202151</v>
      </c>
      <c r="L9" s="227">
        <v>4.1400000000000006</v>
      </c>
      <c r="M9" s="229">
        <f>(((((L9/0.9)*60)/56)/0.98))</f>
        <v>5.0291545189504383</v>
      </c>
      <c r="O9" s="226">
        <v>0</v>
      </c>
      <c r="P9" s="229">
        <f>IF(O9&gt;0,(((((O9/0.9)*365)/56)/0.98)*0.85)+($M$9*0.15),0)</f>
        <v>0</v>
      </c>
    </row>
    <row r="10" spans="1:16" ht="13">
      <c r="A10" s="2" t="s">
        <v>154</v>
      </c>
      <c r="B10" s="2"/>
      <c r="C10" s="175">
        <f>Budget!G22</f>
        <v>0.20200000000000001</v>
      </c>
      <c r="D10" s="2" t="s">
        <v>37</v>
      </c>
      <c r="E10" s="63"/>
      <c r="F10" s="226">
        <v>6.5</v>
      </c>
      <c r="G10" s="230">
        <f>((((F10/0.9)*365)/0.98)*0.85)+($M$10*0.15)</f>
        <v>2286.4229024943315</v>
      </c>
      <c r="H10" s="226">
        <v>4</v>
      </c>
      <c r="I10" s="230">
        <f>((((H10/0.9)*365)/0.98)*0.85)+($M$10*0.15)</f>
        <v>1407.0294784580499</v>
      </c>
      <c r="J10" s="226">
        <v>4.5</v>
      </c>
      <c r="K10" s="230">
        <f>((((J10/0.9)*365)/0.98)*0.85)+($M$10*0.15)</f>
        <v>1582.908163265306</v>
      </c>
      <c r="L10" s="227"/>
      <c r="M10" s="230">
        <f>((((L10/0.9)*60)/0.98))</f>
        <v>0</v>
      </c>
      <c r="O10" s="226">
        <v>0</v>
      </c>
      <c r="P10" s="230">
        <f>IF(O10&gt;0,((((O10/0.9)*365)/0.98)*0.85)+($M$10*0.15),0)</f>
        <v>0</v>
      </c>
    </row>
    <row r="11" spans="1:16" ht="13">
      <c r="A11" s="2" t="s">
        <v>155</v>
      </c>
      <c r="B11" s="2"/>
      <c r="C11" s="175">
        <f>Budget!G23</f>
        <v>0.22900000000000001</v>
      </c>
      <c r="D11" s="2" t="s">
        <v>37</v>
      </c>
      <c r="E11" s="63"/>
      <c r="F11" s="227"/>
      <c r="G11" s="230">
        <f>((((F11/0.9)*365)/0.98)*0.85)+($M$11*0.15)</f>
        <v>0</v>
      </c>
      <c r="H11" s="226">
        <v>1</v>
      </c>
      <c r="I11" s="230">
        <f>((((H11/0.9)*365)/0.98)*0.85)+($M$11*0.15)</f>
        <v>351.75736961451247</v>
      </c>
      <c r="J11" s="226">
        <v>1</v>
      </c>
      <c r="K11" s="230">
        <f>((((J11/0.9)*365)/0.98)*0.85)+($M$11*0.15)</f>
        <v>351.75736961451247</v>
      </c>
      <c r="L11" s="227"/>
      <c r="M11" s="230">
        <f>((((L11/0.9)*60)/0.98))</f>
        <v>0</v>
      </c>
      <c r="O11" s="226">
        <v>0</v>
      </c>
      <c r="P11" s="230">
        <f>IF(O11&gt;0,((((O11/0.9)*365)/0.98)*0.85)+($M$11*0.15),0)</f>
        <v>0</v>
      </c>
    </row>
    <row r="12" spans="1:16" ht="13">
      <c r="A12" s="2" t="s">
        <v>156</v>
      </c>
      <c r="B12" s="2"/>
      <c r="C12" s="175">
        <f>Budget!G24</f>
        <v>0.09</v>
      </c>
      <c r="D12" s="2" t="s">
        <v>37</v>
      </c>
      <c r="E12" s="63"/>
      <c r="F12" s="227"/>
      <c r="G12" s="230">
        <f>((((F12/0.9)*365)/0.98)*0.85)+($M$12*0.15)</f>
        <v>0</v>
      </c>
      <c r="H12" s="226">
        <v>3.5</v>
      </c>
      <c r="I12" s="230">
        <f>((((H12/0.9)*365)/0.98)*0.85)+($M$12*0.15)</f>
        <v>1231.1507936507935</v>
      </c>
      <c r="J12" s="226">
        <v>3</v>
      </c>
      <c r="K12" s="230">
        <f>((((J12/0.9)*365)/0.98)*0.85)+($M$12*0.15)</f>
        <v>1055.2721088435374</v>
      </c>
      <c r="L12" s="227"/>
      <c r="M12" s="230">
        <f>((((L12/0.9)*60)/0.98))</f>
        <v>0</v>
      </c>
      <c r="O12" s="226">
        <v>0</v>
      </c>
      <c r="P12" s="230">
        <f>IF(O12&gt;0,((((O12/0.9)*365)/0.98)*0.85)+($M$12*0.15),0)</f>
        <v>0</v>
      </c>
    </row>
    <row r="13" spans="1:16" ht="13">
      <c r="A13" s="2" t="s">
        <v>157</v>
      </c>
      <c r="B13" s="2"/>
      <c r="C13" s="175">
        <f>Budget!G25</f>
        <v>0.15</v>
      </c>
      <c r="D13" s="2" t="s">
        <v>37</v>
      </c>
      <c r="E13" s="63"/>
      <c r="F13" s="227"/>
      <c r="G13" s="230">
        <f>((((F13/0.9)*365)/0.98)*0.85)+($M$13*0.15)</f>
        <v>0</v>
      </c>
      <c r="H13" s="226">
        <v>4.5</v>
      </c>
      <c r="I13" s="230">
        <f>((((H13/0.9)*365)/0.98)*0.85)+($M$13*0.15)</f>
        <v>1582.908163265306</v>
      </c>
      <c r="J13" s="226">
        <v>5</v>
      </c>
      <c r="K13" s="230">
        <f>((((J13/0.9)*365)/0.98)*0.85)+($M$13*0.15)</f>
        <v>1758.7868480725622</v>
      </c>
      <c r="L13" s="227"/>
      <c r="M13" s="230">
        <f>((((L13/0.9)*60)/0.98))</f>
        <v>0</v>
      </c>
      <c r="O13" s="226">
        <v>0</v>
      </c>
      <c r="P13" s="230">
        <f>IF(O13&gt;0,((((O13/0.9)*365)/0.98)*0.85)+($M$13*0.15),0)</f>
        <v>0</v>
      </c>
    </row>
    <row r="14" spans="1:16" ht="13">
      <c r="A14" s="2" t="s">
        <v>159</v>
      </c>
      <c r="B14" s="2"/>
      <c r="C14" s="175">
        <f>Budget!G26</f>
        <v>0.2</v>
      </c>
      <c r="D14" s="2" t="s">
        <v>37</v>
      </c>
      <c r="E14" s="63"/>
      <c r="F14" s="228">
        <v>1.4450000000000001</v>
      </c>
      <c r="G14" s="230">
        <f>((((F14/0.9)*365)/0.98)*0.85)+($M$14*0.15)</f>
        <v>512.18735827664409</v>
      </c>
      <c r="H14" s="226">
        <v>1.5289999999999999</v>
      </c>
      <c r="I14" s="230">
        <f>((((H14/0.9)*365)/0.98)*0.85)+($M$14*0.15)</f>
        <v>541.7349773242629</v>
      </c>
      <c r="J14" s="226">
        <v>1.609</v>
      </c>
      <c r="K14" s="230">
        <f>((((J14/0.9)*365)/0.98)*0.85)+($M$14*0.15)</f>
        <v>569.87556689342409</v>
      </c>
      <c r="L14" s="227">
        <v>0.38200000000000001</v>
      </c>
      <c r="M14" s="230">
        <f>((((L14/0.9)*60)/0.98))</f>
        <v>25.986394557823132</v>
      </c>
      <c r="O14" s="226">
        <v>0</v>
      </c>
      <c r="P14" s="230">
        <f>IF(O14&gt;0,((((O14/0.9)*365)/0.98)*0.85)+($M$14*0.15),0)</f>
        <v>0</v>
      </c>
    </row>
    <row r="15" spans="1:16" ht="13">
      <c r="A15" s="2" t="s">
        <v>34</v>
      </c>
      <c r="B15" s="2"/>
      <c r="C15" s="175">
        <f>Budget!G27</f>
        <v>0.6</v>
      </c>
      <c r="D15" s="2" t="s">
        <v>37</v>
      </c>
      <c r="E15" s="63"/>
      <c r="F15" s="226">
        <v>0</v>
      </c>
      <c r="G15" s="230">
        <f>(((F15/0.9)*365)*0.85)+($M$15*0.15)</f>
        <v>2.4749999999999992</v>
      </c>
      <c r="H15" s="226">
        <v>0.46899999999999997</v>
      </c>
      <c r="I15" s="230">
        <f>(((H15/0.9)*365)*0.85)+($M$15*0.15)</f>
        <v>164.14972222222221</v>
      </c>
      <c r="J15" s="226">
        <v>0.47699999999999998</v>
      </c>
      <c r="K15" s="230">
        <f>(((J15/0.9)*365)*0.85)+($M$15*0.15)</f>
        <v>166.90749999999994</v>
      </c>
      <c r="L15" s="226">
        <v>0.2475</v>
      </c>
      <c r="M15" s="230">
        <f>(((L15/0.9)*60))</f>
        <v>16.499999999999996</v>
      </c>
      <c r="O15" s="226">
        <v>0</v>
      </c>
      <c r="P15" s="230">
        <f>IF(O15&gt;0,(((O15/0.9)*365)*0.85)+($M$15*0.15),0)</f>
        <v>0</v>
      </c>
    </row>
    <row r="16" spans="1:16" ht="13">
      <c r="A16" s="55"/>
      <c r="B16" s="55"/>
      <c r="C16" s="81"/>
      <c r="D16" s="55"/>
      <c r="E16" s="72"/>
      <c r="F16" s="195"/>
      <c r="G16" s="195"/>
      <c r="H16" s="192"/>
      <c r="I16" s="193"/>
      <c r="J16" s="192"/>
      <c r="K16" s="193"/>
      <c r="L16" s="194"/>
      <c r="M16" s="194"/>
      <c r="O16" s="192"/>
      <c r="P16" s="193"/>
    </row>
    <row r="17" spans="1:15">
      <c r="F17" s="6"/>
      <c r="G17" s="40"/>
      <c r="H17" s="6"/>
      <c r="I17" s="40"/>
      <c r="J17" s="6"/>
      <c r="K17" s="40"/>
    </row>
    <row r="18" spans="1:15" ht="15.5">
      <c r="A18" s="191" t="s">
        <v>165</v>
      </c>
      <c r="E18" s="40"/>
      <c r="F18" s="40"/>
      <c r="G18" s="40"/>
      <c r="H18" s="40"/>
      <c r="I18" s="40"/>
      <c r="J18" s="40"/>
      <c r="K18" s="40"/>
    </row>
    <row r="19" spans="1:15" ht="16">
      <c r="A19" s="191" t="s">
        <v>166</v>
      </c>
      <c r="E19" s="2"/>
      <c r="F19" s="110"/>
      <c r="H19" s="111"/>
      <c r="J19" s="110"/>
      <c r="L19" s="183" t="s">
        <v>161</v>
      </c>
    </row>
    <row r="20" spans="1:15" ht="13">
      <c r="E20" s="2"/>
      <c r="F20" s="110"/>
      <c r="H20" s="110"/>
      <c r="J20" s="110"/>
      <c r="M20" s="109"/>
      <c r="O20" s="109"/>
    </row>
    <row r="21" spans="1:15" ht="13">
      <c r="E21" s="2"/>
      <c r="F21" s="110"/>
      <c r="H21" s="110"/>
      <c r="J21" s="110"/>
    </row>
    <row r="22" spans="1:15" ht="13">
      <c r="E22" s="2"/>
      <c r="F22" s="110"/>
      <c r="H22" s="110"/>
      <c r="J22" s="110"/>
    </row>
    <row r="23" spans="1:15" ht="13">
      <c r="E23" s="2"/>
      <c r="F23" s="110"/>
      <c r="H23" s="110"/>
      <c r="J23" s="110"/>
    </row>
    <row r="24" spans="1:15" ht="13">
      <c r="E24" s="2"/>
      <c r="F24" s="110"/>
      <c r="H24" s="110"/>
      <c r="J24" s="110"/>
    </row>
    <row r="25" spans="1:15" ht="13">
      <c r="E25" s="2"/>
      <c r="F25" s="110"/>
      <c r="H25" s="110"/>
      <c r="J25" s="110"/>
    </row>
    <row r="26" spans="1:15" ht="13">
      <c r="E26" s="2"/>
      <c r="F26" s="110"/>
      <c r="H26" s="110"/>
      <c r="J26" s="110"/>
    </row>
    <row r="27" spans="1:15" ht="13">
      <c r="E27" s="2"/>
      <c r="F27" s="110"/>
      <c r="H27" s="110"/>
      <c r="J27" s="110"/>
    </row>
    <row r="28" spans="1:15" ht="13">
      <c r="E28" s="2"/>
      <c r="F28" s="110"/>
      <c r="H28" s="110"/>
      <c r="J28" s="110"/>
    </row>
    <row r="29" spans="1:15" ht="13">
      <c r="E29" s="2"/>
      <c r="F29" s="110"/>
      <c r="H29" s="110"/>
      <c r="J29" s="110"/>
    </row>
    <row r="30" spans="1:15" ht="13">
      <c r="E30" s="2"/>
      <c r="F30" s="110"/>
      <c r="H30" s="110"/>
      <c r="J30" s="110"/>
    </row>
    <row r="31" spans="1:15" ht="13">
      <c r="E31" s="2"/>
      <c r="F31" s="110"/>
      <c r="H31" s="110"/>
      <c r="J31" s="110"/>
    </row>
    <row r="32" spans="1:15">
      <c r="F32" s="110"/>
      <c r="H32" s="110"/>
      <c r="J32" s="110"/>
    </row>
    <row r="33" spans="6:10">
      <c r="F33" s="110"/>
      <c r="H33" s="110"/>
      <c r="J33" s="110"/>
    </row>
    <row r="34" spans="6:10">
      <c r="F34" s="110"/>
      <c r="H34" s="110"/>
      <c r="J34" s="110"/>
    </row>
    <row r="35" spans="6:10">
      <c r="F35" s="110"/>
      <c r="H35" s="110"/>
    </row>
    <row r="36" spans="6:10">
      <c r="F36" s="110"/>
    </row>
    <row r="37" spans="6:10">
      <c r="F37" s="110"/>
    </row>
    <row r="38" spans="6:10">
      <c r="F38" s="110"/>
    </row>
    <row r="39" spans="6:10">
      <c r="F39" s="110"/>
    </row>
    <row r="40" spans="6:10">
      <c r="F40" s="110"/>
    </row>
    <row r="41" spans="6:10">
      <c r="F41" s="110"/>
    </row>
    <row r="42" spans="6:10">
      <c r="F42" s="110"/>
    </row>
    <row r="43" spans="6:10">
      <c r="F43" s="110"/>
    </row>
    <row r="44" spans="6:10">
      <c r="F44" s="110"/>
    </row>
    <row r="45" spans="6:10">
      <c r="F45" s="110"/>
    </row>
    <row r="46" spans="6:10">
      <c r="F46" s="110"/>
    </row>
    <row r="100" spans="6:6">
      <c r="F100" s="110"/>
    </row>
    <row r="101" spans="6:6">
      <c r="F101" s="110"/>
    </row>
    <row r="102" spans="6:6">
      <c r="F102" s="110"/>
    </row>
    <row r="103" spans="6:6">
      <c r="F103" s="110"/>
    </row>
    <row r="104" spans="6:6">
      <c r="F104" s="110"/>
    </row>
    <row r="105" spans="6:6">
      <c r="F105" s="110"/>
    </row>
    <row r="106" spans="6:6">
      <c r="F106" s="110"/>
    </row>
    <row r="107" spans="6:6">
      <c r="F107" s="110"/>
    </row>
    <row r="108" spans="6:6">
      <c r="F108" s="110"/>
    </row>
    <row r="109" spans="6:6">
      <c r="F109" s="110"/>
    </row>
    <row r="110" spans="6:6">
      <c r="F110" s="110"/>
    </row>
    <row r="111" spans="6:6">
      <c r="F111" s="110"/>
    </row>
    <row r="112" spans="6:6">
      <c r="F112" s="110"/>
    </row>
    <row r="113" spans="6:6">
      <c r="F113" s="110"/>
    </row>
    <row r="114" spans="6:6">
      <c r="F114" s="110"/>
    </row>
    <row r="115" spans="6:6">
      <c r="F115" s="110"/>
    </row>
    <row r="116" spans="6:6">
      <c r="F116" s="110"/>
    </row>
    <row r="117" spans="6:6">
      <c r="F117" s="110"/>
    </row>
    <row r="118" spans="6:6">
      <c r="F118" s="110"/>
    </row>
    <row r="119" spans="6:6">
      <c r="F119" s="110"/>
    </row>
    <row r="120" spans="6:6">
      <c r="F120" s="110"/>
    </row>
    <row r="121" spans="6:6">
      <c r="F121" s="110"/>
    </row>
    <row r="122" spans="6:6">
      <c r="F122" s="110"/>
    </row>
    <row r="123" spans="6:6">
      <c r="F123" s="110"/>
    </row>
    <row r="124" spans="6:6">
      <c r="F124" s="110"/>
    </row>
    <row r="125" spans="6:6">
      <c r="F125" s="110"/>
    </row>
    <row r="126" spans="6:6">
      <c r="F126" s="110"/>
    </row>
    <row r="127" spans="6:6">
      <c r="F127" s="110"/>
    </row>
    <row r="128" spans="6:6">
      <c r="F128" s="110"/>
    </row>
    <row r="129" spans="6:6">
      <c r="F129" s="110"/>
    </row>
    <row r="130" spans="6:6">
      <c r="F130" s="110"/>
    </row>
    <row r="131" spans="6:6">
      <c r="F131" s="110"/>
    </row>
    <row r="132" spans="6:6">
      <c r="F132" s="110"/>
    </row>
    <row r="133" spans="6:6">
      <c r="F133" s="110"/>
    </row>
    <row r="134" spans="6:6">
      <c r="F134" s="110"/>
    </row>
    <row r="135" spans="6:6">
      <c r="F135" s="110"/>
    </row>
    <row r="136" spans="6:6">
      <c r="F136" s="110"/>
    </row>
    <row r="137" spans="6:6">
      <c r="F137" s="110"/>
    </row>
    <row r="138" spans="6:6">
      <c r="F138" s="110"/>
    </row>
    <row r="139" spans="6:6">
      <c r="F139" s="110"/>
    </row>
    <row r="140" spans="6:6">
      <c r="F140" s="110"/>
    </row>
    <row r="141" spans="6:6">
      <c r="F141" s="110"/>
    </row>
    <row r="142" spans="6:6">
      <c r="F142" s="110"/>
    </row>
    <row r="143" spans="6:6">
      <c r="F143" s="110"/>
    </row>
    <row r="144" spans="6:6">
      <c r="F144" s="110"/>
    </row>
    <row r="145" spans="6:6">
      <c r="F145" s="110"/>
    </row>
    <row r="146" spans="6:6">
      <c r="F146" s="110"/>
    </row>
    <row r="147" spans="6:6">
      <c r="F147" s="110"/>
    </row>
    <row r="148" spans="6:6">
      <c r="F148" s="110"/>
    </row>
    <row r="149" spans="6:6">
      <c r="F149" s="110"/>
    </row>
    <row r="150" spans="6:6">
      <c r="F150" s="110"/>
    </row>
    <row r="151" spans="6:6">
      <c r="F151" s="110"/>
    </row>
    <row r="152" spans="6:6">
      <c r="F152" s="110"/>
    </row>
    <row r="153" spans="6:6">
      <c r="F153" s="110"/>
    </row>
    <row r="154" spans="6:6">
      <c r="F154" s="110"/>
    </row>
    <row r="155" spans="6:6">
      <c r="F155" s="110"/>
    </row>
    <row r="156" spans="6:6">
      <c r="F156" s="110"/>
    </row>
    <row r="157" spans="6:6">
      <c r="F157" s="110"/>
    </row>
    <row r="158" spans="6:6">
      <c r="F158" s="110"/>
    </row>
    <row r="159" spans="6:6">
      <c r="F159" s="110"/>
    </row>
    <row r="160" spans="6:6">
      <c r="F160" s="110"/>
    </row>
    <row r="161" spans="6:6">
      <c r="F161" s="110"/>
    </row>
    <row r="162" spans="6:6">
      <c r="F162" s="110"/>
    </row>
    <row r="163" spans="6:6">
      <c r="F163" s="110"/>
    </row>
    <row r="164" spans="6:6">
      <c r="F164" s="110"/>
    </row>
    <row r="165" spans="6:6">
      <c r="F165" s="110"/>
    </row>
    <row r="166" spans="6:6">
      <c r="F166" s="110"/>
    </row>
    <row r="167" spans="6:6">
      <c r="F167" s="110"/>
    </row>
    <row r="168" spans="6:6">
      <c r="F168" s="110"/>
    </row>
    <row r="169" spans="6:6">
      <c r="F169" s="110"/>
    </row>
    <row r="170" spans="6:6">
      <c r="F170" s="110"/>
    </row>
    <row r="171" spans="6:6">
      <c r="F171" s="110"/>
    </row>
    <row r="172" spans="6:6">
      <c r="F172" s="110"/>
    </row>
    <row r="173" spans="6:6">
      <c r="F173" s="110"/>
    </row>
    <row r="174" spans="6:6">
      <c r="F174" s="110"/>
    </row>
    <row r="175" spans="6:6">
      <c r="F175" s="110"/>
    </row>
    <row r="176" spans="6:6">
      <c r="F176" s="110"/>
    </row>
    <row r="177" spans="6:6">
      <c r="F177" s="110"/>
    </row>
    <row r="178" spans="6:6">
      <c r="F178" s="110"/>
    </row>
    <row r="179" spans="6:6">
      <c r="F179" s="110"/>
    </row>
    <row r="180" spans="6:6">
      <c r="F180" s="110"/>
    </row>
    <row r="181" spans="6:6">
      <c r="F181" s="110"/>
    </row>
    <row r="182" spans="6:6">
      <c r="F182" s="110"/>
    </row>
    <row r="183" spans="6:6">
      <c r="F183" s="110"/>
    </row>
    <row r="184" spans="6:6">
      <c r="F184" s="110"/>
    </row>
    <row r="185" spans="6:6">
      <c r="F185" s="110"/>
    </row>
    <row r="186" spans="6:6">
      <c r="F186" s="110"/>
    </row>
    <row r="187" spans="6:6">
      <c r="F187" s="110"/>
    </row>
    <row r="188" spans="6:6">
      <c r="F188" s="110"/>
    </row>
    <row r="189" spans="6:6">
      <c r="F189" s="110"/>
    </row>
    <row r="190" spans="6:6">
      <c r="F190" s="110"/>
    </row>
    <row r="191" spans="6:6">
      <c r="F191" s="110"/>
    </row>
    <row r="192" spans="6:6">
      <c r="F192" s="110"/>
    </row>
    <row r="193" spans="6:6">
      <c r="F193" s="110"/>
    </row>
    <row r="194" spans="6:6">
      <c r="F194" s="110"/>
    </row>
    <row r="195" spans="6:6">
      <c r="F195" s="110"/>
    </row>
    <row r="196" spans="6:6">
      <c r="F196" s="110"/>
    </row>
    <row r="197" spans="6:6">
      <c r="F197" s="110"/>
    </row>
    <row r="198" spans="6:6">
      <c r="F198" s="110"/>
    </row>
    <row r="199" spans="6:6">
      <c r="F199" s="110"/>
    </row>
    <row r="201" spans="6:6">
      <c r="F201" s="110"/>
    </row>
  </sheetData>
  <customSheetViews>
    <customSheetView guid="{BE39A69A-34AB-4A1C-BCB1-D33E82EEFA26}" showPageBreaks="1">
      <selection activeCell="C6" sqref="C6"/>
      <pageMargins left="0.7" right="0.7" top="0.75" bottom="0.75" header="0.3" footer="0.3"/>
      <pageSetup orientation="landscape" r:id="rId1"/>
    </customSheetView>
    <customSheetView guid="{653D8C6C-C45C-4A2C-9F21-5ED08C5C1254}" showPageBreaks="1" fitToPage="1">
      <selection activeCell="R4" sqref="R4"/>
      <pageMargins left="0.7" right="0.7" top="0.75" bottom="0.75" header="0.3" footer="0.3"/>
      <pageSetup scale="96" orientation="landscape" r:id="rId2"/>
    </customSheetView>
    <customSheetView guid="{EF795EF6-BAEC-44FA-96C5-B85C8CF6A75F}" topLeftCell="C1">
      <selection activeCell="C4" sqref="C4"/>
      <pageMargins left="0.7" right="0.7" top="0.75" bottom="0.75" header="0.3" footer="0.3"/>
    </customSheetView>
    <customSheetView guid="{4AD55AF8-0F2E-4AC2-BF62-C82318D88CF4}" topLeftCell="C1">
      <selection activeCell="M21" sqref="M21"/>
      <pageMargins left="0.7" right="0.7" top="0.75" bottom="0.75" header="0.3" footer="0.3"/>
    </customSheetView>
    <customSheetView guid="{47165A6A-348F-4A9A-9FCB-8E7A26C3DE18}" topLeftCell="C1">
      <selection activeCell="M21" sqref="M21"/>
      <pageMargins left="0.7" right="0.7" top="0.75" bottom="0.75" header="0.3" footer="0.3"/>
    </customSheetView>
  </customSheetViews>
  <hyperlinks>
    <hyperlink ref="L19" location="Introduction!A1" display="Back to Front Page"/>
  </hyperlinks>
  <pageMargins left="0.7" right="0.7" top="0.75" bottom="0.75" header="0.3" footer="0.3"/>
  <pageSetup orientation="landscape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workbookViewId="0"/>
  </sheetViews>
  <sheetFormatPr defaultRowHeight="12.5"/>
  <cols>
    <col min="1" max="1" width="24.81640625" customWidth="1"/>
    <col min="2" max="2" width="11" bestFit="1" customWidth="1"/>
    <col min="3" max="3" width="10.81640625" customWidth="1"/>
    <col min="4" max="4" width="12" customWidth="1"/>
    <col min="5" max="6" width="10.453125" customWidth="1"/>
    <col min="7" max="7" width="9.26953125" bestFit="1" customWidth="1"/>
    <col min="8" max="8" width="11.7265625" customWidth="1"/>
    <col min="9" max="9" width="11" customWidth="1"/>
    <col min="10" max="10" width="10.26953125" customWidth="1"/>
    <col min="11" max="11" width="10.26953125" bestFit="1" customWidth="1"/>
    <col min="12" max="12" width="9.26953125" bestFit="1" customWidth="1"/>
  </cols>
  <sheetData>
    <row r="1" spans="1:12" ht="13">
      <c r="A1" s="112" t="s">
        <v>80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2" ht="27">
      <c r="A2" s="113"/>
      <c r="B2" s="114" t="s">
        <v>81</v>
      </c>
      <c r="C2" s="115" t="s">
        <v>97</v>
      </c>
      <c r="D2" s="116" t="s">
        <v>98</v>
      </c>
      <c r="E2" s="116" t="s">
        <v>99</v>
      </c>
      <c r="F2" s="116" t="s">
        <v>100</v>
      </c>
      <c r="G2" s="116" t="s">
        <v>101</v>
      </c>
      <c r="H2" s="117" t="s">
        <v>102</v>
      </c>
      <c r="I2" s="118" t="s">
        <v>103</v>
      </c>
      <c r="J2" s="116" t="s">
        <v>82</v>
      </c>
      <c r="K2" s="116" t="s">
        <v>83</v>
      </c>
      <c r="L2" s="117" t="s">
        <v>84</v>
      </c>
    </row>
    <row r="3" spans="1:12" ht="12.75" customHeight="1">
      <c r="A3" s="119" t="s">
        <v>138</v>
      </c>
      <c r="B3" s="207">
        <v>900000</v>
      </c>
      <c r="C3" s="120">
        <f>B3*0.3</f>
        <v>270000</v>
      </c>
      <c r="D3" s="121">
        <f>(B3+C3+E3)/2</f>
        <v>600750</v>
      </c>
      <c r="E3" s="122">
        <f>(B3-C3)/20</f>
        <v>31500</v>
      </c>
      <c r="F3" s="123">
        <f>D3*0.05</f>
        <v>30037.5</v>
      </c>
      <c r="G3" s="124">
        <f>D3*0.005</f>
        <v>3003.75</v>
      </c>
      <c r="H3" s="125">
        <f>D3*0.005</f>
        <v>3003.75</v>
      </c>
      <c r="I3" s="126">
        <f>$B3*0.01</f>
        <v>9000</v>
      </c>
      <c r="J3" s="127">
        <f>SUM(E3:I3)</f>
        <v>76545</v>
      </c>
      <c r="K3" s="128">
        <v>600</v>
      </c>
      <c r="L3" s="129">
        <f>J3/K3</f>
        <v>127.575</v>
      </c>
    </row>
    <row r="4" spans="1:12" ht="12.75" customHeight="1">
      <c r="A4" s="119" t="s">
        <v>139</v>
      </c>
      <c r="B4" s="207">
        <v>200000</v>
      </c>
      <c r="C4" s="120">
        <f>B4*0.3</f>
        <v>60000</v>
      </c>
      <c r="D4" s="121">
        <f>(B4+C4+E4)/2</f>
        <v>133500</v>
      </c>
      <c r="E4" s="122">
        <f>(B4-C4)/20</f>
        <v>7000</v>
      </c>
      <c r="F4" s="123">
        <f>D4*0.05</f>
        <v>6675</v>
      </c>
      <c r="G4" s="124">
        <f>D4*0.005</f>
        <v>667.5</v>
      </c>
      <c r="H4" s="125">
        <f>D4*0.005</f>
        <v>667.5</v>
      </c>
      <c r="I4" s="130">
        <f>$B4*0.01</f>
        <v>2000</v>
      </c>
      <c r="J4" s="127">
        <f>SUM(E4:I4)</f>
        <v>17010</v>
      </c>
      <c r="K4" s="128">
        <v>600</v>
      </c>
      <c r="L4" s="131">
        <f>J4/K4</f>
        <v>28.35</v>
      </c>
    </row>
    <row r="5" spans="1:12" s="171" customFormat="1" ht="13">
      <c r="A5" s="119" t="s">
        <v>85</v>
      </c>
      <c r="B5" s="207">
        <v>300000</v>
      </c>
      <c r="C5" s="120">
        <v>300000</v>
      </c>
      <c r="D5" s="121">
        <f>(B5+C5+E5)/2</f>
        <v>300000</v>
      </c>
      <c r="E5" s="122">
        <f t="shared" ref="E5:E12" si="0">(B5-C5)/20</f>
        <v>0</v>
      </c>
      <c r="F5" s="177">
        <f>(D5/2)*0.05</f>
        <v>7500</v>
      </c>
      <c r="G5" s="178">
        <f>D5*0.005</f>
        <v>1500</v>
      </c>
      <c r="H5" s="179">
        <f>D5*0.005</f>
        <v>1500</v>
      </c>
      <c r="I5" s="180">
        <v>0</v>
      </c>
      <c r="J5" s="127">
        <f>SUM(E5:I5)</f>
        <v>10500</v>
      </c>
      <c r="K5" s="128">
        <v>600</v>
      </c>
      <c r="L5" s="131">
        <f>J5/K5</f>
        <v>17.5</v>
      </c>
    </row>
    <row r="6" spans="1:12" ht="13">
      <c r="A6" s="119" t="s">
        <v>86</v>
      </c>
      <c r="B6" s="207">
        <v>38000</v>
      </c>
      <c r="C6" s="120">
        <f t="shared" ref="C6:C12" si="1">B6*0.3</f>
        <v>11400</v>
      </c>
      <c r="D6" s="121">
        <f t="shared" ref="D6:D12" si="2">(B6+C6+E6)/2</f>
        <v>25365</v>
      </c>
      <c r="E6" s="122">
        <f t="shared" si="0"/>
        <v>1330</v>
      </c>
      <c r="F6" s="123">
        <f t="shared" ref="F6:F12" si="3">D6*0.05</f>
        <v>1268.25</v>
      </c>
      <c r="G6" s="124">
        <f t="shared" ref="G6:G12" si="4">D6*0.005</f>
        <v>126.825</v>
      </c>
      <c r="H6" s="125">
        <f t="shared" ref="H6:H12" si="5">D6*0.005</f>
        <v>126.825</v>
      </c>
      <c r="I6" s="130">
        <f t="shared" ref="I6:I12" si="6">$B6*0.01</f>
        <v>380</v>
      </c>
      <c r="J6" s="127">
        <f t="shared" ref="J6:J12" si="7">SUM(E6:I6)</f>
        <v>3231.8999999999996</v>
      </c>
      <c r="K6" s="128">
        <v>600</v>
      </c>
      <c r="L6" s="131">
        <f t="shared" ref="L6:L12" si="8">J6/K6</f>
        <v>5.386499999999999</v>
      </c>
    </row>
    <row r="7" spans="1:12" ht="12.75" customHeight="1">
      <c r="A7" s="119" t="s">
        <v>87</v>
      </c>
      <c r="B7" s="207">
        <v>221700</v>
      </c>
      <c r="C7" s="120">
        <f t="shared" si="1"/>
        <v>66510</v>
      </c>
      <c r="D7" s="121">
        <f t="shared" si="2"/>
        <v>147984.75</v>
      </c>
      <c r="E7" s="122">
        <f t="shared" si="0"/>
        <v>7759.5</v>
      </c>
      <c r="F7" s="123">
        <f t="shared" si="3"/>
        <v>7399.2375000000002</v>
      </c>
      <c r="G7" s="124">
        <f t="shared" si="4"/>
        <v>739.92375000000004</v>
      </c>
      <c r="H7" s="125">
        <f t="shared" si="5"/>
        <v>739.92375000000004</v>
      </c>
      <c r="I7" s="130">
        <f t="shared" si="6"/>
        <v>2217</v>
      </c>
      <c r="J7" s="127">
        <f t="shared" si="7"/>
        <v>18855.584999999999</v>
      </c>
      <c r="K7" s="128">
        <v>600</v>
      </c>
      <c r="L7" s="131">
        <f t="shared" si="8"/>
        <v>31.425974999999998</v>
      </c>
    </row>
    <row r="8" spans="1:12" ht="12.75" customHeight="1">
      <c r="A8" s="119" t="s">
        <v>88</v>
      </c>
      <c r="B8" s="207">
        <v>42300</v>
      </c>
      <c r="C8" s="120">
        <f t="shared" si="1"/>
        <v>12690</v>
      </c>
      <c r="D8" s="121">
        <f t="shared" si="2"/>
        <v>28235.25</v>
      </c>
      <c r="E8" s="122">
        <f t="shared" si="0"/>
        <v>1480.5</v>
      </c>
      <c r="F8" s="123">
        <f t="shared" si="3"/>
        <v>1411.7625</v>
      </c>
      <c r="G8" s="124">
        <f t="shared" si="4"/>
        <v>141.17625000000001</v>
      </c>
      <c r="H8" s="125">
        <f t="shared" si="5"/>
        <v>141.17625000000001</v>
      </c>
      <c r="I8" s="130">
        <f t="shared" si="6"/>
        <v>423</v>
      </c>
      <c r="J8" s="127">
        <f t="shared" si="7"/>
        <v>3597.6149999999998</v>
      </c>
      <c r="K8" s="128">
        <v>600</v>
      </c>
      <c r="L8" s="131">
        <f t="shared" si="8"/>
        <v>5.9960249999999995</v>
      </c>
    </row>
    <row r="9" spans="1:12" s="173" customFormat="1" ht="13">
      <c r="A9" s="172" t="s">
        <v>124</v>
      </c>
      <c r="B9" s="207">
        <v>7500</v>
      </c>
      <c r="C9" s="120">
        <f t="shared" si="1"/>
        <v>2250</v>
      </c>
      <c r="D9" s="121">
        <f t="shared" si="2"/>
        <v>5006.25</v>
      </c>
      <c r="E9" s="122">
        <f t="shared" si="0"/>
        <v>262.5</v>
      </c>
      <c r="F9" s="123">
        <f t="shared" si="3"/>
        <v>250.3125</v>
      </c>
      <c r="G9" s="124">
        <f t="shared" si="4"/>
        <v>25.03125</v>
      </c>
      <c r="H9" s="125">
        <f t="shared" si="5"/>
        <v>25.03125</v>
      </c>
      <c r="I9" s="130">
        <f t="shared" si="6"/>
        <v>75</v>
      </c>
      <c r="J9" s="127">
        <f t="shared" si="7"/>
        <v>637.875</v>
      </c>
      <c r="K9" s="128">
        <v>600</v>
      </c>
      <c r="L9" s="131">
        <f t="shared" si="8"/>
        <v>1.0631250000000001</v>
      </c>
    </row>
    <row r="10" spans="1:12" ht="12.75" customHeight="1">
      <c r="A10" s="119" t="s">
        <v>89</v>
      </c>
      <c r="B10" s="207">
        <v>600000</v>
      </c>
      <c r="C10" s="120">
        <f t="shared" si="1"/>
        <v>180000</v>
      </c>
      <c r="D10" s="121">
        <f t="shared" si="2"/>
        <v>400500</v>
      </c>
      <c r="E10" s="122">
        <f t="shared" si="0"/>
        <v>21000</v>
      </c>
      <c r="F10" s="123">
        <f t="shared" si="3"/>
        <v>20025</v>
      </c>
      <c r="G10" s="124">
        <f t="shared" si="4"/>
        <v>2002.5</v>
      </c>
      <c r="H10" s="125">
        <f t="shared" si="5"/>
        <v>2002.5</v>
      </c>
      <c r="I10" s="130">
        <f t="shared" si="6"/>
        <v>6000</v>
      </c>
      <c r="J10" s="127">
        <f t="shared" si="7"/>
        <v>51030</v>
      </c>
      <c r="K10" s="128">
        <v>600</v>
      </c>
      <c r="L10" s="131">
        <f t="shared" si="8"/>
        <v>85.05</v>
      </c>
    </row>
    <row r="11" spans="1:12" ht="12.75" customHeight="1">
      <c r="A11" s="119" t="s">
        <v>90</v>
      </c>
      <c r="B11" s="207">
        <v>273600</v>
      </c>
      <c r="C11" s="120">
        <f t="shared" si="1"/>
        <v>82080</v>
      </c>
      <c r="D11" s="121">
        <f t="shared" si="2"/>
        <v>182628</v>
      </c>
      <c r="E11" s="122">
        <f t="shared" si="0"/>
        <v>9576</v>
      </c>
      <c r="F11" s="123">
        <f t="shared" si="3"/>
        <v>9131.4</v>
      </c>
      <c r="G11" s="124">
        <f t="shared" si="4"/>
        <v>913.14</v>
      </c>
      <c r="H11" s="125">
        <f t="shared" si="5"/>
        <v>913.14</v>
      </c>
      <c r="I11" s="130">
        <f t="shared" si="6"/>
        <v>2736</v>
      </c>
      <c r="J11" s="127">
        <f t="shared" si="7"/>
        <v>23269.68</v>
      </c>
      <c r="K11" s="128">
        <v>600</v>
      </c>
      <c r="L11" s="131">
        <f t="shared" si="8"/>
        <v>38.782800000000002</v>
      </c>
    </row>
    <row r="12" spans="1:12" ht="24" customHeight="1">
      <c r="A12" s="119" t="s">
        <v>91</v>
      </c>
      <c r="B12" s="207">
        <v>34000</v>
      </c>
      <c r="C12" s="120">
        <f t="shared" si="1"/>
        <v>10200</v>
      </c>
      <c r="D12" s="121">
        <f t="shared" si="2"/>
        <v>22695</v>
      </c>
      <c r="E12" s="122">
        <f t="shared" si="0"/>
        <v>1190</v>
      </c>
      <c r="F12" s="123">
        <f t="shared" si="3"/>
        <v>1134.75</v>
      </c>
      <c r="G12" s="124">
        <f t="shared" si="4"/>
        <v>113.47500000000001</v>
      </c>
      <c r="H12" s="125">
        <f t="shared" si="5"/>
        <v>113.47500000000001</v>
      </c>
      <c r="I12" s="132">
        <f t="shared" si="6"/>
        <v>340</v>
      </c>
      <c r="J12" s="127">
        <f t="shared" si="7"/>
        <v>2891.7</v>
      </c>
      <c r="K12" s="128">
        <v>600</v>
      </c>
      <c r="L12" s="131">
        <f t="shared" si="8"/>
        <v>4.8194999999999997</v>
      </c>
    </row>
    <row r="13" spans="1:12" ht="13">
      <c r="A13" s="133" t="s">
        <v>104</v>
      </c>
      <c r="B13" s="134"/>
      <c r="C13" s="134"/>
      <c r="D13" s="134"/>
      <c r="E13" s="134"/>
      <c r="F13" s="134"/>
      <c r="G13" s="135"/>
      <c r="H13" s="134"/>
      <c r="I13" s="136"/>
      <c r="J13" s="137" t="s">
        <v>92</v>
      </c>
      <c r="K13" s="134"/>
      <c r="L13" s="138">
        <f>SUM(L3:L12)</f>
        <v>345.94892500000003</v>
      </c>
    </row>
    <row r="14" spans="1:12" ht="13">
      <c r="A14" s="139" t="s">
        <v>105</v>
      </c>
      <c r="B14" s="136"/>
      <c r="C14" s="136"/>
      <c r="D14" s="136"/>
      <c r="E14" s="136"/>
      <c r="F14" s="136"/>
      <c r="G14" s="140"/>
      <c r="H14" s="118"/>
      <c r="I14" s="118"/>
      <c r="J14" s="141"/>
      <c r="K14" s="142"/>
      <c r="L14" s="143"/>
    </row>
    <row r="15" spans="1:12" ht="13">
      <c r="A15" s="144" t="s">
        <v>110</v>
      </c>
      <c r="B15" s="136"/>
      <c r="C15" s="136"/>
      <c r="D15" s="136"/>
      <c r="E15" s="136"/>
      <c r="F15" s="136"/>
      <c r="G15" s="140"/>
      <c r="H15" s="136"/>
      <c r="I15" s="136"/>
      <c r="J15" s="136"/>
    </row>
    <row r="16" spans="1:12" ht="13">
      <c r="A16" s="144" t="s">
        <v>106</v>
      </c>
      <c r="B16" s="136"/>
      <c r="C16" s="136"/>
      <c r="D16" s="136"/>
      <c r="E16" s="136"/>
      <c r="F16" s="136"/>
      <c r="G16" s="140"/>
      <c r="H16" s="136"/>
      <c r="I16" s="136"/>
      <c r="J16" s="136"/>
    </row>
    <row r="17" spans="1:12" ht="15.5">
      <c r="A17" s="144" t="s">
        <v>122</v>
      </c>
      <c r="B17" s="136"/>
      <c r="C17" s="136"/>
      <c r="D17" s="136"/>
      <c r="E17" s="136"/>
      <c r="F17" s="136"/>
      <c r="G17" s="140"/>
      <c r="H17" s="136"/>
      <c r="I17" s="136"/>
      <c r="J17" s="183" t="s">
        <v>161</v>
      </c>
    </row>
    <row r="18" spans="1:12">
      <c r="A18" s="139" t="s">
        <v>123</v>
      </c>
      <c r="B18" s="145"/>
      <c r="C18" s="145"/>
    </row>
    <row r="19" spans="1:12">
      <c r="A19" s="139" t="s">
        <v>107</v>
      </c>
      <c r="B19" s="145"/>
      <c r="C19" s="145"/>
    </row>
    <row r="20" spans="1:12">
      <c r="A20" s="139"/>
      <c r="B20" s="145"/>
      <c r="C20" s="145"/>
    </row>
    <row r="21" spans="1:12" ht="13">
      <c r="A21" s="112" t="s">
        <v>93</v>
      </c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</row>
    <row r="22" spans="1:12" ht="27">
      <c r="A22" s="146"/>
      <c r="B22" s="147" t="s">
        <v>81</v>
      </c>
      <c r="C22" s="148" t="s">
        <v>97</v>
      </c>
      <c r="D22" s="149" t="s">
        <v>98</v>
      </c>
      <c r="E22" s="149" t="s">
        <v>99</v>
      </c>
      <c r="F22" s="149" t="s">
        <v>100</v>
      </c>
      <c r="G22" s="116" t="s">
        <v>101</v>
      </c>
      <c r="H22" s="117" t="s">
        <v>108</v>
      </c>
      <c r="I22" s="40" t="s">
        <v>103</v>
      </c>
      <c r="J22" s="116" t="s">
        <v>82</v>
      </c>
      <c r="K22" s="116" t="s">
        <v>83</v>
      </c>
      <c r="L22" s="117" t="s">
        <v>84</v>
      </c>
    </row>
    <row r="23" spans="1:12" ht="14">
      <c r="A23" s="150" t="s">
        <v>125</v>
      </c>
      <c r="B23" s="208">
        <v>75000</v>
      </c>
      <c r="C23" s="151">
        <f t="shared" ref="C23:C29" si="9">B23*0.3</f>
        <v>22500</v>
      </c>
      <c r="D23" s="152">
        <f t="shared" ref="D23:D29" si="10">(B23+C23+E23)/2</f>
        <v>51375</v>
      </c>
      <c r="E23" s="152">
        <f t="shared" ref="E23:E29" si="11">(B23-C23)/10</f>
        <v>5250</v>
      </c>
      <c r="F23" s="152">
        <f t="shared" ref="F23:F29" si="12">D23*0.05</f>
        <v>2568.75</v>
      </c>
      <c r="G23" s="152">
        <f t="shared" ref="G23:G29" si="13">D23*0.005</f>
        <v>256.875</v>
      </c>
      <c r="H23" s="152">
        <f t="shared" ref="H23:H29" si="14">D23*0.01</f>
        <v>513.75</v>
      </c>
      <c r="I23" s="152">
        <f t="shared" ref="I23:I29" si="15">B23*0.02</f>
        <v>1500</v>
      </c>
      <c r="J23" s="153">
        <f t="shared" ref="J23:J29" si="16">SUM(E23:I23)</f>
        <v>10089.375</v>
      </c>
      <c r="K23" s="154">
        <v>600</v>
      </c>
      <c r="L23" s="129">
        <f t="shared" ref="L23:L29" si="17">J23/K23</f>
        <v>16.815625000000001</v>
      </c>
    </row>
    <row r="24" spans="1:12" ht="13">
      <c r="A24" s="155" t="s">
        <v>94</v>
      </c>
      <c r="B24" s="207">
        <v>100000</v>
      </c>
      <c r="C24" s="156">
        <f t="shared" si="9"/>
        <v>30000</v>
      </c>
      <c r="D24" s="157">
        <f t="shared" si="10"/>
        <v>68500</v>
      </c>
      <c r="E24" s="157">
        <f t="shared" si="11"/>
        <v>7000</v>
      </c>
      <c r="F24" s="157">
        <f t="shared" si="12"/>
        <v>3425</v>
      </c>
      <c r="G24" s="157">
        <f t="shared" si="13"/>
        <v>342.5</v>
      </c>
      <c r="H24" s="157">
        <f t="shared" si="14"/>
        <v>685</v>
      </c>
      <c r="I24" s="157">
        <f t="shared" si="15"/>
        <v>2000</v>
      </c>
      <c r="J24" s="158">
        <f t="shared" si="16"/>
        <v>13452.5</v>
      </c>
      <c r="K24" s="159">
        <v>600</v>
      </c>
      <c r="L24" s="131">
        <f t="shared" si="17"/>
        <v>22.420833333333334</v>
      </c>
    </row>
    <row r="25" spans="1:12" ht="13">
      <c r="A25" s="155" t="s">
        <v>140</v>
      </c>
      <c r="B25" s="207">
        <v>50000</v>
      </c>
      <c r="C25" s="156">
        <f t="shared" si="9"/>
        <v>15000</v>
      </c>
      <c r="D25" s="157">
        <f t="shared" si="10"/>
        <v>34250</v>
      </c>
      <c r="E25" s="157">
        <f t="shared" si="11"/>
        <v>3500</v>
      </c>
      <c r="F25" s="157">
        <f t="shared" si="12"/>
        <v>1712.5</v>
      </c>
      <c r="G25" s="157">
        <f t="shared" si="13"/>
        <v>171.25</v>
      </c>
      <c r="H25" s="157">
        <f t="shared" si="14"/>
        <v>342.5</v>
      </c>
      <c r="I25" s="157">
        <f t="shared" si="15"/>
        <v>1000</v>
      </c>
      <c r="J25" s="158">
        <f t="shared" si="16"/>
        <v>6726.25</v>
      </c>
      <c r="K25" s="159">
        <v>600</v>
      </c>
      <c r="L25" s="131">
        <f t="shared" si="17"/>
        <v>11.210416666666667</v>
      </c>
    </row>
    <row r="26" spans="1:12" ht="13">
      <c r="A26" s="155" t="s">
        <v>141</v>
      </c>
      <c r="B26" s="207">
        <v>250000</v>
      </c>
      <c r="C26" s="156">
        <f>B26*0.3</f>
        <v>75000</v>
      </c>
      <c r="D26" s="157">
        <f>(B26+C26+E26)/2</f>
        <v>171250</v>
      </c>
      <c r="E26" s="157">
        <f>(B26-C26)/10</f>
        <v>17500</v>
      </c>
      <c r="F26" s="157">
        <f>D26*0.05</f>
        <v>8562.5</v>
      </c>
      <c r="G26" s="157">
        <f>D26*0.005</f>
        <v>856.25</v>
      </c>
      <c r="H26" s="157">
        <f>D26*0.01</f>
        <v>1712.5</v>
      </c>
      <c r="I26" s="157">
        <f>B26*0.02</f>
        <v>5000</v>
      </c>
      <c r="J26" s="158">
        <f>SUM(E26:I26)</f>
        <v>33631.25</v>
      </c>
      <c r="K26" s="159">
        <v>600</v>
      </c>
      <c r="L26" s="131">
        <f>J26/K26</f>
        <v>56.052083333333336</v>
      </c>
    </row>
    <row r="27" spans="1:12" ht="13">
      <c r="A27" s="155" t="s">
        <v>95</v>
      </c>
      <c r="B27" s="207">
        <v>30000</v>
      </c>
      <c r="C27" s="156">
        <f t="shared" si="9"/>
        <v>9000</v>
      </c>
      <c r="D27" s="157">
        <f t="shared" si="10"/>
        <v>20550</v>
      </c>
      <c r="E27" s="157">
        <f t="shared" si="11"/>
        <v>2100</v>
      </c>
      <c r="F27" s="157">
        <f t="shared" si="12"/>
        <v>1027.5</v>
      </c>
      <c r="G27" s="157">
        <f t="shared" si="13"/>
        <v>102.75</v>
      </c>
      <c r="H27" s="157">
        <f t="shared" si="14"/>
        <v>205.5</v>
      </c>
      <c r="I27" s="157">
        <f t="shared" si="15"/>
        <v>600</v>
      </c>
      <c r="J27" s="158">
        <f t="shared" si="16"/>
        <v>4035.75</v>
      </c>
      <c r="K27" s="159">
        <v>600</v>
      </c>
      <c r="L27" s="131">
        <f t="shared" si="17"/>
        <v>6.7262500000000003</v>
      </c>
    </row>
    <row r="28" spans="1:12" ht="14">
      <c r="A28" s="155" t="s">
        <v>126</v>
      </c>
      <c r="B28" s="207">
        <v>30000</v>
      </c>
      <c r="C28" s="156">
        <f t="shared" si="9"/>
        <v>9000</v>
      </c>
      <c r="D28" s="157">
        <f t="shared" si="10"/>
        <v>20550</v>
      </c>
      <c r="E28" s="157">
        <f t="shared" si="11"/>
        <v>2100</v>
      </c>
      <c r="F28" s="157">
        <f t="shared" si="12"/>
        <v>1027.5</v>
      </c>
      <c r="G28" s="157">
        <f t="shared" si="13"/>
        <v>102.75</v>
      </c>
      <c r="H28" s="157">
        <f t="shared" si="14"/>
        <v>205.5</v>
      </c>
      <c r="I28" s="157">
        <f t="shared" si="15"/>
        <v>600</v>
      </c>
      <c r="J28" s="158">
        <f t="shared" si="16"/>
        <v>4035.75</v>
      </c>
      <c r="K28" s="159">
        <v>600</v>
      </c>
      <c r="L28" s="131">
        <f t="shared" si="17"/>
        <v>6.7262500000000003</v>
      </c>
    </row>
    <row r="29" spans="1:12" ht="13">
      <c r="A29" s="160" t="s">
        <v>96</v>
      </c>
      <c r="B29" s="209">
        <v>5000</v>
      </c>
      <c r="C29" s="161">
        <f t="shared" si="9"/>
        <v>1500</v>
      </c>
      <c r="D29" s="162">
        <f t="shared" si="10"/>
        <v>3425</v>
      </c>
      <c r="E29" s="162">
        <f t="shared" si="11"/>
        <v>350</v>
      </c>
      <c r="F29" s="162">
        <f t="shared" si="12"/>
        <v>171.25</v>
      </c>
      <c r="G29" s="162">
        <f t="shared" si="13"/>
        <v>17.125</v>
      </c>
      <c r="H29" s="162">
        <f t="shared" si="14"/>
        <v>34.25</v>
      </c>
      <c r="I29" s="162">
        <f t="shared" si="15"/>
        <v>100</v>
      </c>
      <c r="J29" s="163">
        <f t="shared" si="16"/>
        <v>672.625</v>
      </c>
      <c r="K29" s="164">
        <v>600</v>
      </c>
      <c r="L29" s="165">
        <f t="shared" si="17"/>
        <v>1.1210416666666667</v>
      </c>
    </row>
    <row r="30" spans="1:12" ht="13">
      <c r="A30" s="144" t="s">
        <v>109</v>
      </c>
      <c r="B30" s="166"/>
      <c r="C30" s="166"/>
      <c r="F30" s="167"/>
      <c r="G30" s="157"/>
      <c r="H30" s="136"/>
      <c r="I30" s="136"/>
      <c r="J30" s="118" t="s">
        <v>92</v>
      </c>
      <c r="K30" s="136"/>
      <c r="L30" s="168">
        <f>SUM(L23:L29)</f>
        <v>121.07250000000001</v>
      </c>
    </row>
    <row r="31" spans="1:12" ht="13">
      <c r="A31" s="139" t="s">
        <v>105</v>
      </c>
      <c r="B31" s="166"/>
      <c r="C31" s="166"/>
      <c r="J31" s="43"/>
      <c r="K31" s="1"/>
      <c r="L31" s="143"/>
    </row>
    <row r="32" spans="1:12">
      <c r="A32" s="144" t="s">
        <v>114</v>
      </c>
      <c r="B32" s="169"/>
      <c r="C32" s="169"/>
    </row>
    <row r="33" spans="1:12">
      <c r="A33" s="144" t="s">
        <v>106</v>
      </c>
      <c r="B33" s="166"/>
      <c r="C33" s="166"/>
    </row>
    <row r="34" spans="1:12">
      <c r="A34" s="144" t="s">
        <v>122</v>
      </c>
      <c r="B34" s="166"/>
      <c r="C34" s="166"/>
    </row>
    <row r="35" spans="1:12">
      <c r="A35" s="139" t="s">
        <v>111</v>
      </c>
      <c r="B35" s="169"/>
      <c r="C35" s="169"/>
    </row>
    <row r="36" spans="1:12">
      <c r="A36" s="139" t="s">
        <v>112</v>
      </c>
      <c r="B36" s="166"/>
      <c r="C36" s="166"/>
      <c r="J36" s="40"/>
      <c r="L36" s="6"/>
    </row>
    <row r="37" spans="1:12">
      <c r="A37" s="170" t="s">
        <v>127</v>
      </c>
    </row>
    <row r="38" spans="1:12">
      <c r="A38" s="170" t="s">
        <v>128</v>
      </c>
    </row>
  </sheetData>
  <customSheetViews>
    <customSheetView guid="{BE39A69A-34AB-4A1C-BCB1-D33E82EEFA26}" showPageBreaks="1" fitToPage="1">
      <selection activeCell="B5" sqref="B5"/>
      <pageMargins left="0.7" right="0.7" top="0.75" bottom="0.75" header="0.3" footer="0.3"/>
      <pageSetup scale="10" orientation="landscape" r:id="rId1"/>
    </customSheetView>
    <customSheetView guid="{653D8C6C-C45C-4A2C-9F21-5ED08C5C1254}">
      <pageMargins left="0.7" right="0.7" top="0.75" bottom="0.75" header="0.3" footer="0.3"/>
    </customSheetView>
  </customSheetViews>
  <hyperlinks>
    <hyperlink ref="J17" location="Introduction!A1" display="Back to Front Page"/>
  </hyperlinks>
  <pageMargins left="0.7" right="0.7" top="0.75" bottom="0.75" header="0.3" footer="0.3"/>
  <pageSetup scale="88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Introduction</vt:lpstr>
      <vt:lpstr>Budget</vt:lpstr>
      <vt:lpstr>Feed Costs Calculations</vt:lpstr>
      <vt:lpstr>Buildings and Machinery</vt:lpstr>
      <vt:lpstr>Budget!Print_Area</vt:lpstr>
    </vt:vector>
  </TitlesOfParts>
  <Company>The Ohio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Moore</dc:creator>
  <cp:lastModifiedBy>Julie Moose</cp:lastModifiedBy>
  <cp:lastPrinted>2014-09-19T15:43:09Z</cp:lastPrinted>
  <dcterms:created xsi:type="dcterms:W3CDTF">1999-02-08T16:01:09Z</dcterms:created>
  <dcterms:modified xsi:type="dcterms:W3CDTF">2016-12-01T16:47:31Z</dcterms:modified>
</cp:coreProperties>
</file>