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ose.14\Documents\website\AgLaw\FarmManagement\EnterpriseBudgets\"/>
    </mc:Choice>
  </mc:AlternateContent>
  <bookViews>
    <workbookView xWindow="0" yWindow="0" windowWidth="19200" windowHeight="8590"/>
  </bookViews>
  <sheets>
    <sheet name="ewe-lamb" sheetId="1" r:id="rId1"/>
    <sheet name="Buildings and Equipment(2)" sheetId="4" r:id="rId2"/>
  </sheets>
  <definedNames>
    <definedName name="_xlnm.Print_Area" localSheetId="0">'ewe-lamb'!$A$1:$Q$106</definedName>
  </definedNames>
  <calcPr calcId="152511"/>
</workbook>
</file>

<file path=xl/calcChain.xml><?xml version="1.0" encoding="utf-8"?>
<calcChain xmlns="http://schemas.openxmlformats.org/spreadsheetml/2006/main">
  <c r="M31" i="1" l="1"/>
  <c r="O31" i="1"/>
  <c r="N31" i="1"/>
  <c r="O50" i="1"/>
  <c r="N50" i="1"/>
  <c r="M50" i="1"/>
  <c r="I25" i="4"/>
  <c r="D25" i="4"/>
  <c r="E25" i="4" s="1"/>
  <c r="J25" i="4" s="1"/>
  <c r="O33" i="1"/>
  <c r="N33" i="1"/>
  <c r="M33" i="1"/>
  <c r="I30" i="4"/>
  <c r="I28" i="4"/>
  <c r="I27" i="4"/>
  <c r="I26" i="4"/>
  <c r="I24" i="4"/>
  <c r="I23" i="4"/>
  <c r="I4" i="4"/>
  <c r="I10" i="4"/>
  <c r="I9" i="4"/>
  <c r="I7" i="4"/>
  <c r="I6" i="4"/>
  <c r="I3" i="4"/>
  <c r="D30" i="4"/>
  <c r="F30" i="4"/>
  <c r="D29" i="4"/>
  <c r="F29" i="4"/>
  <c r="D26" i="4"/>
  <c r="F26" i="4"/>
  <c r="D27" i="4"/>
  <c r="F27" i="4"/>
  <c r="D28" i="4"/>
  <c r="E28" i="4" s="1"/>
  <c r="H28" i="4" s="1"/>
  <c r="F28" i="4"/>
  <c r="G11" i="4"/>
  <c r="D3" i="4"/>
  <c r="F3" i="4"/>
  <c r="D4" i="4"/>
  <c r="F4" i="4" s="1"/>
  <c r="E4" i="4"/>
  <c r="D10" i="4"/>
  <c r="F10" i="4"/>
  <c r="E10" i="4" s="1"/>
  <c r="D9" i="4"/>
  <c r="F9" i="4" s="1"/>
  <c r="D7" i="4"/>
  <c r="F7" i="4"/>
  <c r="E7" i="4"/>
  <c r="D6" i="4"/>
  <c r="F6" i="4"/>
  <c r="D24" i="4"/>
  <c r="E24" i="4" s="1"/>
  <c r="G24" i="4" s="1"/>
  <c r="F24" i="4"/>
  <c r="D23" i="4"/>
  <c r="F23" i="4"/>
  <c r="O48" i="1"/>
  <c r="N48" i="1"/>
  <c r="M48" i="1"/>
  <c r="H13" i="1"/>
  <c r="H27" i="1" s="1"/>
  <c r="O27" i="1" s="1"/>
  <c r="H28" i="1"/>
  <c r="O28" i="1" s="1"/>
  <c r="O32" i="1"/>
  <c r="O41" i="1"/>
  <c r="G13" i="1"/>
  <c r="N32" i="1"/>
  <c r="N41" i="1"/>
  <c r="F13" i="1"/>
  <c r="F26" i="1"/>
  <c r="M26" i="1" s="1"/>
  <c r="F27" i="1"/>
  <c r="M27" i="1"/>
  <c r="M32" i="1"/>
  <c r="M41" i="1"/>
  <c r="O18" i="1"/>
  <c r="O15" i="1"/>
  <c r="O19" i="1"/>
  <c r="O16" i="1"/>
  <c r="O51" i="1"/>
  <c r="O40" i="1"/>
  <c r="N16" i="1"/>
  <c r="N51" i="1"/>
  <c r="N15" i="1"/>
  <c r="N18" i="1"/>
  <c r="N19" i="1"/>
  <c r="N40" i="1"/>
  <c r="M51" i="1"/>
  <c r="M13" i="1"/>
  <c r="M15" i="1"/>
  <c r="M18" i="1"/>
  <c r="M19" i="1"/>
  <c r="M16" i="1"/>
  <c r="M40" i="1"/>
  <c r="J11" i="4"/>
  <c r="K11" i="4" s="1"/>
  <c r="M11" i="4" s="1"/>
  <c r="F25" i="4"/>
  <c r="E9" i="4"/>
  <c r="H9" i="4" s="1"/>
  <c r="E27" i="4"/>
  <c r="G27" i="4" s="1"/>
  <c r="F29" i="1"/>
  <c r="M29" i="1" s="1"/>
  <c r="H7" i="4"/>
  <c r="E30" i="4"/>
  <c r="J30" i="4" s="1"/>
  <c r="E26" i="4"/>
  <c r="H26" i="4" s="1"/>
  <c r="E6" i="4"/>
  <c r="H6" i="4" s="1"/>
  <c r="E29" i="4"/>
  <c r="E23" i="4"/>
  <c r="H29" i="1"/>
  <c r="O29" i="1" s="1"/>
  <c r="E3" i="4"/>
  <c r="J3" i="4" s="1"/>
  <c r="O13" i="1"/>
  <c r="O21" i="1"/>
  <c r="O54" i="1" s="1"/>
  <c r="H29" i="4"/>
  <c r="G29" i="4"/>
  <c r="G26" i="4"/>
  <c r="G3" i="4"/>
  <c r="K3" i="4" s="1"/>
  <c r="M3" i="4" s="1"/>
  <c r="H3" i="4"/>
  <c r="G25" i="4" l="1"/>
  <c r="G28" i="4"/>
  <c r="K28" i="4" s="1"/>
  <c r="M28" i="4" s="1"/>
  <c r="J24" i="4"/>
  <c r="N13" i="1"/>
  <c r="N21" i="1" s="1"/>
  <c r="N54" i="1" s="1"/>
  <c r="G29" i="1"/>
  <c r="N29" i="1" s="1"/>
  <c r="G27" i="1"/>
  <c r="N27" i="1" s="1"/>
  <c r="G26" i="1"/>
  <c r="N26" i="1" s="1"/>
  <c r="G28" i="1"/>
  <c r="N28" i="1" s="1"/>
  <c r="J4" i="4"/>
  <c r="H4" i="4"/>
  <c r="K29" i="4"/>
  <c r="M29" i="4" s="1"/>
  <c r="H23" i="4"/>
  <c r="G23" i="4"/>
  <c r="K23" i="4" s="1"/>
  <c r="M23" i="4" s="1"/>
  <c r="H30" i="4"/>
  <c r="H25" i="4"/>
  <c r="G30" i="4"/>
  <c r="J6" i="4"/>
  <c r="G9" i="4"/>
  <c r="H27" i="4"/>
  <c r="K27" i="4" s="1"/>
  <c r="M27" i="4" s="1"/>
  <c r="M21" i="1"/>
  <c r="M54" i="1" s="1"/>
  <c r="J23" i="4"/>
  <c r="G6" i="4"/>
  <c r="J9" i="4"/>
  <c r="G4" i="4"/>
  <c r="H24" i="4"/>
  <c r="K24" i="4" s="1"/>
  <c r="M24" i="4" s="1"/>
  <c r="G7" i="4"/>
  <c r="K7" i="4" s="1"/>
  <c r="M7" i="4" s="1"/>
  <c r="J7" i="4"/>
  <c r="G10" i="4"/>
  <c r="H10" i="4"/>
  <c r="K10" i="4" s="1"/>
  <c r="M10" i="4" s="1"/>
  <c r="K26" i="4"/>
  <c r="M26" i="4" s="1"/>
  <c r="H26" i="1"/>
  <c r="O26" i="1" s="1"/>
  <c r="O36" i="1" s="1"/>
  <c r="F28" i="1"/>
  <c r="M28" i="1" s="1"/>
  <c r="M36" i="1" s="1"/>
  <c r="F43" i="1" l="1"/>
  <c r="M43" i="1" s="1"/>
  <c r="M45" i="1" s="1"/>
  <c r="K6" i="4"/>
  <c r="M6" i="4" s="1"/>
  <c r="K9" i="4"/>
  <c r="M9" i="4" s="1"/>
  <c r="K25" i="4"/>
  <c r="M25" i="4" s="1"/>
  <c r="M31" i="4" s="1"/>
  <c r="H43" i="1"/>
  <c r="O43" i="1" s="1"/>
  <c r="O45" i="1" s="1"/>
  <c r="K4" i="4"/>
  <c r="M4" i="4" s="1"/>
  <c r="K30" i="4"/>
  <c r="M30" i="4" s="1"/>
  <c r="N36" i="1"/>
  <c r="N53" i="1" l="1"/>
  <c r="M53" i="1"/>
  <c r="O53" i="1"/>
  <c r="O62" i="1"/>
  <c r="O63" i="1"/>
  <c r="O61" i="1"/>
  <c r="M61" i="1"/>
  <c r="M63" i="1"/>
  <c r="M62" i="1"/>
  <c r="G43" i="1"/>
  <c r="N43" i="1" s="1"/>
  <c r="N45" i="1" s="1"/>
  <c r="M12" i="4"/>
  <c r="N61" i="1" l="1"/>
  <c r="N62" i="1"/>
  <c r="N63" i="1"/>
  <c r="N52" i="1"/>
  <c r="N56" i="1" s="1"/>
  <c r="N58" i="1" s="1"/>
  <c r="M52" i="1"/>
  <c r="M56" i="1" s="1"/>
  <c r="M58" i="1" s="1"/>
  <c r="O52" i="1"/>
  <c r="O56" i="1" s="1"/>
  <c r="O58" i="1" s="1"/>
  <c r="N65" i="1" l="1"/>
  <c r="N67" i="1"/>
  <c r="N66" i="1"/>
  <c r="O66" i="1"/>
  <c r="O65" i="1"/>
  <c r="O67" i="1"/>
  <c r="M66" i="1"/>
  <c r="M67" i="1"/>
  <c r="M65" i="1"/>
</calcChain>
</file>

<file path=xl/sharedStrings.xml><?xml version="1.0" encoding="utf-8"?>
<sst xmlns="http://schemas.openxmlformats.org/spreadsheetml/2006/main" count="184" uniqueCount="147">
  <si>
    <t>ITEM</t>
  </si>
  <si>
    <t>QUANTITY/UNIT</t>
  </si>
  <si>
    <t>YOUR</t>
  </si>
  <si>
    <t>BUDGET</t>
  </si>
  <si>
    <t xml:space="preserve">       lamb crop</t>
  </si>
  <si>
    <t>RECEIPTS</t>
  </si>
  <si>
    <t>lb</t>
  </si>
  <si>
    <t>/lb</t>
  </si>
  <si>
    <t>TOTAL RECEIPTS</t>
  </si>
  <si>
    <t>VARIABLE COSTS</t>
  </si>
  <si>
    <t>Lambs</t>
  </si>
  <si>
    <t>Corn</t>
  </si>
  <si>
    <t>bu</t>
  </si>
  <si>
    <t>/bu</t>
  </si>
  <si>
    <t>Alfalfa Hay</t>
  </si>
  <si>
    <t>ton</t>
  </si>
  <si>
    <t>/ton</t>
  </si>
  <si>
    <t>Soybean Meal</t>
  </si>
  <si>
    <t>Minerals</t>
  </si>
  <si>
    <t>Ewes</t>
  </si>
  <si>
    <t>Hay</t>
  </si>
  <si>
    <t>Salt and Mineral</t>
  </si>
  <si>
    <t>TOTAL FEED COSTS</t>
  </si>
  <si>
    <t>Health Program</t>
  </si>
  <si>
    <t>Marketing</t>
  </si>
  <si>
    <t>head</t>
  </si>
  <si>
    <t>/head</t>
  </si>
  <si>
    <t>Shearing</t>
  </si>
  <si>
    <t>Util., Supp, and Misc.</t>
  </si>
  <si>
    <t>12 mo.</t>
  </si>
  <si>
    <t>%</t>
  </si>
  <si>
    <t>TOTAL VARIABLE COSTS</t>
  </si>
  <si>
    <t>FIXED COSTS</t>
  </si>
  <si>
    <t>Labor Charge</t>
  </si>
  <si>
    <t>hours</t>
  </si>
  <si>
    <t>/hr</t>
  </si>
  <si>
    <t>Management Charge</t>
  </si>
  <si>
    <t>5% of gross</t>
  </si>
  <si>
    <t>TOTAL FIXED COSTS</t>
  </si>
  <si>
    <t>TOTAL COSTS</t>
  </si>
  <si>
    <t>RETURN OVER VARIABLE COSTS</t>
  </si>
  <si>
    <t>Lambs @</t>
  </si>
  <si>
    <t>Ewe</t>
  </si>
  <si>
    <t>Lamb</t>
  </si>
  <si>
    <t>lambs shorn</t>
  </si>
  <si>
    <t>/cwt</t>
  </si>
  <si>
    <t>lb/ ewe</t>
  </si>
  <si>
    <t>lb/ ram</t>
  </si>
  <si>
    <t>Ram</t>
  </si>
  <si>
    <t>cull rate - death rate</t>
  </si>
  <si>
    <t>1 ram assumed to be used for every 35 ewes.</t>
  </si>
  <si>
    <t>lamb Crop</t>
  </si>
  <si>
    <t>Price per</t>
  </si>
  <si>
    <t>Buildings</t>
  </si>
  <si>
    <t xml:space="preserve"> </t>
  </si>
  <si>
    <t>Total</t>
  </si>
  <si>
    <t>Equipment</t>
  </si>
  <si>
    <t>Winter Lambing (January - early March)</t>
  </si>
  <si>
    <t>11.</t>
  </si>
  <si>
    <t>12.</t>
  </si>
  <si>
    <t>Production</t>
  </si>
  <si>
    <t>Your</t>
  </si>
  <si>
    <r>
      <t xml:space="preserve">Lambs </t>
    </r>
    <r>
      <rPr>
        <vertAlign val="superscript"/>
        <sz val="10"/>
        <rFont val="Arial"/>
        <family val="2"/>
      </rPr>
      <t>1</t>
    </r>
  </si>
  <si>
    <r>
      <t xml:space="preserve">Wool Sales </t>
    </r>
    <r>
      <rPr>
        <vertAlign val="superscript"/>
        <sz val="10"/>
        <rFont val="Arial"/>
        <family val="2"/>
      </rPr>
      <t>2</t>
    </r>
  </si>
  <si>
    <r>
      <t xml:space="preserve">Cull Ewe and Ram </t>
    </r>
    <r>
      <rPr>
        <vertAlign val="superscript"/>
        <sz val="10"/>
        <rFont val="Arial"/>
        <family val="2"/>
      </rPr>
      <t>3</t>
    </r>
  </si>
  <si>
    <r>
      <t xml:space="preserve">Feed </t>
    </r>
    <r>
      <rPr>
        <vertAlign val="superscript"/>
        <sz val="10"/>
        <rFont val="Arial"/>
        <family val="2"/>
      </rPr>
      <t>4</t>
    </r>
  </si>
  <si>
    <r>
      <t xml:space="preserve">Bedding </t>
    </r>
    <r>
      <rPr>
        <vertAlign val="superscript"/>
        <sz val="10"/>
        <rFont val="Arial"/>
        <family val="2"/>
      </rPr>
      <t>6</t>
    </r>
  </si>
  <si>
    <r>
      <t xml:space="preserve">Int. on Operating Expense </t>
    </r>
    <r>
      <rPr>
        <vertAlign val="superscript"/>
        <sz val="10"/>
        <rFont val="Arial"/>
        <family val="2"/>
      </rPr>
      <t>7</t>
    </r>
  </si>
  <si>
    <r>
      <t xml:space="preserve">Ewe Replacement </t>
    </r>
    <r>
      <rPr>
        <vertAlign val="superscript"/>
        <sz val="10"/>
        <rFont val="Arial"/>
        <family val="2"/>
      </rPr>
      <t>8</t>
    </r>
  </si>
  <si>
    <r>
      <t xml:space="preserve">Ram Replacement </t>
    </r>
    <r>
      <rPr>
        <vertAlign val="superscript"/>
        <sz val="10"/>
        <rFont val="Arial"/>
        <family val="2"/>
      </rPr>
      <t>9</t>
    </r>
  </si>
  <si>
    <r>
      <t xml:space="preserve">Int. on Breed Stock </t>
    </r>
    <r>
      <rPr>
        <vertAlign val="superscript"/>
        <sz val="10"/>
        <rFont val="Arial"/>
        <family val="2"/>
      </rPr>
      <t>10</t>
    </r>
  </si>
  <si>
    <r>
      <t xml:space="preserve">Buildings Charge </t>
    </r>
    <r>
      <rPr>
        <vertAlign val="superscript"/>
        <sz val="10"/>
        <rFont val="Arial"/>
        <family val="2"/>
      </rPr>
      <t>12</t>
    </r>
  </si>
  <si>
    <r>
      <t xml:space="preserve">3. </t>
    </r>
    <r>
      <rPr>
        <sz val="10"/>
        <rFont val="Arial"/>
        <family val="2"/>
      </rPr>
      <t>Cull rate: ewes=20% and rams=35%.  Death rate: ewes=4% and rams=10%.</t>
    </r>
  </si>
  <si>
    <r>
      <t xml:space="preserve">7. </t>
    </r>
    <r>
      <rPr>
        <sz val="10"/>
        <rFont val="Arial"/>
        <family val="2"/>
      </rPr>
      <t>Includes ½ value of feed plus other variable expenses less marketing.</t>
    </r>
  </si>
  <si>
    <r>
      <t>10.</t>
    </r>
    <r>
      <rPr>
        <sz val="10"/>
        <rFont val="Arial"/>
        <family val="2"/>
      </rPr>
      <t xml:space="preserve"> Average value of breeding animals is $65 per ewe plus $5 per ram per ewe.</t>
    </r>
  </si>
  <si>
    <r>
      <t>1.</t>
    </r>
    <r>
      <rPr>
        <sz val="10"/>
        <rFont val="Arial"/>
        <family val="2"/>
      </rPr>
      <t xml:space="preserve"> Lambs sold at 125 lb. - 1.25, 1.50 and 1.75 lambs sold per ewe. Based on 200 ewe flock and selling finished lambs.</t>
    </r>
  </si>
  <si>
    <r>
      <t xml:space="preserve">6. </t>
    </r>
    <r>
      <rPr>
        <sz val="10"/>
        <rFont val="Arial"/>
        <family val="2"/>
      </rPr>
      <t xml:space="preserve"> 60 lbs per ewe, $80/ton</t>
    </r>
  </si>
  <si>
    <t>Per ewe, based on 200 ewe flock, selling finished lambs</t>
  </si>
  <si>
    <t>RETURN OVER TOTAL COSTS</t>
  </si>
  <si>
    <t>Grain</t>
  </si>
  <si>
    <t>Confinement</t>
  </si>
  <si>
    <t>Head</t>
  </si>
  <si>
    <t>Pickup (Prorated)</t>
  </si>
  <si>
    <t>Updated</t>
  </si>
  <si>
    <t>View next worksheet (click "Buildings and Equipment" tab at bottom) to see specific calculations for Building costs.</t>
  </si>
  <si>
    <t>View next worksheet (click "Buildings and Equipment" tab at bottom) to see specific calculations for Equipment costs.</t>
  </si>
  <si>
    <t>Cost</t>
  </si>
  <si>
    <r>
      <t>Salvage Value</t>
    </r>
    <r>
      <rPr>
        <vertAlign val="superscript"/>
        <sz val="10"/>
        <rFont val="Arial"/>
        <family val="2"/>
      </rPr>
      <t>1</t>
    </r>
  </si>
  <si>
    <r>
      <t>Average Value</t>
    </r>
    <r>
      <rPr>
        <vertAlign val="superscript"/>
        <sz val="9"/>
        <rFont val="Arial"/>
        <family val="2"/>
      </rPr>
      <t>2</t>
    </r>
  </si>
  <si>
    <r>
      <t>Depreciation</t>
    </r>
    <r>
      <rPr>
        <vertAlign val="superscript"/>
        <sz val="9"/>
        <rFont val="Arial"/>
        <family val="2"/>
      </rPr>
      <t>3</t>
    </r>
  </si>
  <si>
    <r>
      <t>Interest</t>
    </r>
    <r>
      <rPr>
        <vertAlign val="superscript"/>
        <sz val="9"/>
        <rFont val="Arial"/>
        <family val="2"/>
      </rPr>
      <t>4</t>
    </r>
  </si>
  <si>
    <r>
      <t>Insurance</t>
    </r>
    <r>
      <rPr>
        <vertAlign val="superscript"/>
        <sz val="9"/>
        <rFont val="Arial"/>
        <family val="2"/>
      </rPr>
      <t>5</t>
    </r>
  </si>
  <si>
    <t>Cost/Head</t>
  </si>
  <si>
    <t>Gates</t>
  </si>
  <si>
    <t>Total Cost/head: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</si>
  <si>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Average value is the summation of (Cost plus Salvage Value Plus 1-year Depreciation) divided by 2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</si>
  <si>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Depreciation is cost minus salvage value divided by Useful life which is assumed to be 20 years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</si>
  <si>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>Interest assumes Average Value times 8%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</si>
  <si>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>Insurance assumes Average Value times .5%</t>
    </r>
  </si>
  <si>
    <r>
      <t>Housing</t>
    </r>
    <r>
      <rPr>
        <vertAlign val="superscript"/>
        <sz val="9"/>
        <rFont val="Arial"/>
        <family val="2"/>
      </rPr>
      <t>6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</si>
  <si>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Assumes Salvage Value to be 20% of New Cost</t>
    </r>
  </si>
  <si>
    <t>Feed Storage</t>
  </si>
  <si>
    <t>Electrical and grading</t>
  </si>
  <si>
    <t>Fence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</si>
  <si>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Assumes Salvage Value to be 35% of Cost</t>
    </r>
  </si>
  <si>
    <t>Machinery and Equipment</t>
  </si>
  <si>
    <t>Self Feeders</t>
  </si>
  <si>
    <t>Water System</t>
  </si>
  <si>
    <t>Feed/Water Pans</t>
  </si>
  <si>
    <r>
      <rPr>
        <vertAlign val="superscript"/>
        <sz val="8"/>
        <rFont val="Arial"/>
        <family val="2"/>
      </rPr>
      <t>7</t>
    </r>
    <r>
      <rPr>
        <sz val="8"/>
        <rFont val="Arial"/>
        <family val="2"/>
      </rPr>
      <t>Property Tax assumes Average Value times .5%</t>
    </r>
  </si>
  <si>
    <r>
      <t>Repairs</t>
    </r>
    <r>
      <rPr>
        <vertAlign val="superscript"/>
        <sz val="9"/>
        <rFont val="Arial"/>
        <family val="2"/>
      </rPr>
      <t>6</t>
    </r>
  </si>
  <si>
    <r>
      <t xml:space="preserve">Property Tax </t>
    </r>
    <r>
      <rPr>
        <vertAlign val="superscript"/>
        <sz val="9"/>
        <rFont val="Arial"/>
        <family val="2"/>
      </rPr>
      <t>7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</si>
  <si>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Interest assumes Average Value times 8% </t>
    </r>
  </si>
  <si>
    <r>
      <t xml:space="preserve">Machinery and Equipment Charge </t>
    </r>
    <r>
      <rPr>
        <vertAlign val="superscript"/>
        <sz val="10"/>
        <rFont val="Arial"/>
        <family val="2"/>
      </rPr>
      <t>11</t>
    </r>
  </si>
  <si>
    <r>
      <rPr>
        <vertAlign val="superscript"/>
        <sz val="8"/>
        <rFont val="Arial"/>
        <family val="2"/>
      </rPr>
      <t>7</t>
    </r>
    <r>
      <rPr>
        <sz val="8"/>
        <rFont val="Arial"/>
        <family val="2"/>
      </rPr>
      <t>Housing assumes Average Value times 1%</t>
    </r>
  </si>
  <si>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>Repairs assumes New Cost times 2%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</si>
  <si>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Depreciation is cost minus salvage value divided by Useful life which is assumed to be 10 years</t>
    </r>
  </si>
  <si>
    <r>
      <t xml:space="preserve">Creep: </t>
    </r>
    <r>
      <rPr>
        <vertAlign val="superscript"/>
        <sz val="9"/>
        <rFont val="Arial"/>
        <family val="2"/>
      </rPr>
      <t>8</t>
    </r>
  </si>
  <si>
    <t>8 Creep 2in feeder space per hd @ 175% lamb crop</t>
  </si>
  <si>
    <t>8 20 square feet for ewes with lamb + 1.5 square feet for lamb creep space</t>
  </si>
  <si>
    <t>Land 9</t>
  </si>
  <si>
    <t>9 Assumes 2 ac for buildings and dry lot</t>
  </si>
  <si>
    <t>Unit</t>
  </si>
  <si>
    <t>Price</t>
  </si>
  <si>
    <t>acre</t>
  </si>
  <si>
    <t>ews/acre</t>
  </si>
  <si>
    <r>
      <t xml:space="preserve">Pasture </t>
    </r>
    <r>
      <rPr>
        <vertAlign val="superscript"/>
        <sz val="10"/>
        <rFont val="Arial"/>
        <family val="2"/>
      </rPr>
      <t>5</t>
    </r>
  </si>
  <si>
    <t>Grass Hay</t>
  </si>
  <si>
    <t>Shelter (21.5 sq.ft. @$7/per sq.ft.)8</t>
  </si>
  <si>
    <t>Tractor 60 hp (prorated 33%)</t>
  </si>
  <si>
    <t>Manure Spreader 160 bu(prorated 67%)</t>
  </si>
  <si>
    <t>Skid Steer Loader (prorated 67%)</t>
  </si>
  <si>
    <r>
      <t>8.</t>
    </r>
    <r>
      <rPr>
        <sz val="10"/>
        <rFont val="Arial"/>
        <family val="2"/>
      </rPr>
      <t xml:space="preserve"> Ewe replacement cost based on 20% annual replacement rate, (16% cull rate and 4% death loss) and cost of ewe of $300</t>
    </r>
  </si>
  <si>
    <t>(0.16+0.04) X $300 = $30</t>
  </si>
  <si>
    <r>
      <t>9.</t>
    </r>
    <r>
      <rPr>
        <sz val="10"/>
        <rFont val="Arial"/>
        <family val="2"/>
      </rPr>
      <t xml:space="preserve"> Ram replacement cost based on 35% replacement rate, (25% cull rate and 10% death loss) ram cost of $500, 35 ewes per ram.</t>
    </r>
  </si>
  <si>
    <t>{(0.25+0.10) X $500}/35= $5</t>
  </si>
  <si>
    <t>Feed includes ewe maintenance, gestation, and lactation requirements + lamb requirements and 50 lb. creep feed.</t>
  </si>
  <si>
    <r>
      <t xml:space="preserve">5. </t>
    </r>
    <r>
      <rPr>
        <sz val="10"/>
        <rFont val="Arial"/>
        <family val="2"/>
      </rPr>
      <t xml:space="preserve">Pasture cost are based on an annual rental rate for 1 ac. of pasture.  Pasture rent includes boundary fence and water source. </t>
    </r>
  </si>
  <si>
    <t>This rate is determined by the following formula: yield x hay price x 0.25. (2.5T/ac x $70/ton x 0.25 = $43.75/ac)</t>
  </si>
  <si>
    <t>2013 EWE AND LAMB BUDGET</t>
  </si>
  <si>
    <t>Authors:</t>
  </si>
  <si>
    <t>Jeff McCutheon, Extension Educator, Morrow County</t>
  </si>
  <si>
    <t>Barry Ward, Leader, Farm Business Management</t>
  </si>
  <si>
    <t>Trey Miller, Undergraduate, AEDE</t>
  </si>
  <si>
    <r>
      <t>2.</t>
    </r>
    <r>
      <rPr>
        <sz val="10"/>
        <rFont val="Arial"/>
        <family val="2"/>
      </rPr>
      <t xml:space="preserve"> Wool: 6 lbs/ewe + 3 lbs./lamb shearing 1/4 of all lambs.  Ewe wool price is $0.60/lb. and lamb wool price is $0.40/lb. </t>
    </r>
  </si>
  <si>
    <t>Information based on black-faced commercial sheep, Dave Rowe, Mid-States Wool Growers Cooperative</t>
  </si>
  <si>
    <r>
      <t>4.</t>
    </r>
    <r>
      <rPr>
        <sz val="10"/>
        <rFont val="Arial"/>
        <family val="2"/>
      </rPr>
      <t xml:space="preserve"> Feed assumes cost of production or market, whichever is higher.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</si>
</sst>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0.0"/>
    <numFmt numFmtId="166" formatCode="0.000"/>
    <numFmt numFmtId="167" formatCode="&quot;$&quot;#,##0.00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 applyBorder="1"/>
    <xf numFmtId="0" fontId="0" fillId="0" borderId="1" xfId="0" applyBorder="1"/>
    <xf numFmtId="0" fontId="1" fillId="0" borderId="0" xfId="0" applyFont="1"/>
    <xf numFmtId="9" fontId="2" fillId="0" borderId="0" xfId="0" applyNumberFormat="1" applyFont="1" applyBorder="1" applyAlignment="1">
      <alignment horizontal="center"/>
    </xf>
    <xf numFmtId="0" fontId="3" fillId="0" borderId="0" xfId="0" quotePrefix="1" applyFont="1" applyProtection="1">
      <protection locked="0"/>
    </xf>
    <xf numFmtId="9" fontId="4" fillId="0" borderId="0" xfId="0" applyNumberFormat="1" applyFont="1"/>
    <xf numFmtId="0" fontId="1" fillId="0" borderId="0" xfId="0" applyFont="1" applyProtection="1">
      <protection locked="0"/>
    </xf>
    <xf numFmtId="0" fontId="2" fillId="0" borderId="0" xfId="0" applyFont="1"/>
    <xf numFmtId="0" fontId="4" fillId="0" borderId="0" xfId="0" applyFont="1"/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/>
    <xf numFmtId="0" fontId="2" fillId="0" borderId="1" xfId="0" applyFont="1" applyBorder="1" applyAlignment="1">
      <alignment horizontal="center"/>
    </xf>
    <xf numFmtId="0" fontId="4" fillId="0" borderId="2" xfId="0" applyFont="1" applyBorder="1" applyProtection="1">
      <protection locked="0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 applyProtection="1">
      <alignment horizontal="center"/>
      <protection locked="0"/>
    </xf>
    <xf numFmtId="0" fontId="4" fillId="0" borderId="0" xfId="0" applyFont="1" applyBorder="1"/>
    <xf numFmtId="9" fontId="4" fillId="0" borderId="0" xfId="0" applyNumberFormat="1" applyFont="1" applyBorder="1"/>
    <xf numFmtId="0" fontId="4" fillId="0" borderId="1" xfId="0" applyFont="1" applyBorder="1" applyProtection="1">
      <protection locked="0"/>
    </xf>
    <xf numFmtId="0" fontId="4" fillId="0" borderId="1" xfId="0" applyFont="1" applyBorder="1"/>
    <xf numFmtId="9" fontId="4" fillId="0" borderId="1" xfId="0" applyNumberFormat="1" applyFont="1" applyBorder="1"/>
    <xf numFmtId="0" fontId="2" fillId="0" borderId="0" xfId="0" applyFont="1" applyProtection="1">
      <protection locked="0"/>
    </xf>
    <xf numFmtId="1" fontId="4" fillId="0" borderId="0" xfId="0" applyNumberFormat="1" applyFont="1" applyProtection="1">
      <protection locked="0"/>
    </xf>
    <xf numFmtId="4" fontId="4" fillId="0" borderId="0" xfId="0" applyNumberFormat="1" applyFont="1"/>
    <xf numFmtId="1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3" xfId="0" applyFont="1" applyBorder="1" applyProtection="1">
      <protection locked="0"/>
    </xf>
    <xf numFmtId="2" fontId="4" fillId="0" borderId="0" xfId="0" applyNumberFormat="1" applyFont="1"/>
    <xf numFmtId="2" fontId="4" fillId="0" borderId="0" xfId="0" applyNumberFormat="1" applyFont="1" applyProtection="1">
      <protection locked="0"/>
    </xf>
    <xf numFmtId="9" fontId="4" fillId="0" borderId="0" xfId="1" applyFont="1"/>
    <xf numFmtId="0" fontId="7" fillId="0" borderId="0" xfId="0" applyFont="1"/>
    <xf numFmtId="0" fontId="8" fillId="0" borderId="0" xfId="0" applyFont="1"/>
    <xf numFmtId="4" fontId="10" fillId="0" borderId="0" xfId="0" applyNumberFormat="1" applyFont="1"/>
    <xf numFmtId="2" fontId="8" fillId="0" borderId="0" xfId="0" applyNumberFormat="1" applyFont="1" applyProtection="1">
      <protection locked="0"/>
    </xf>
    <xf numFmtId="1" fontId="8" fillId="0" borderId="0" xfId="0" applyNumberFormat="1" applyFont="1"/>
    <xf numFmtId="0" fontId="8" fillId="0" borderId="2" xfId="0" applyFont="1" applyBorder="1" applyProtection="1">
      <protection locked="0"/>
    </xf>
    <xf numFmtId="0" fontId="8" fillId="0" borderId="0" xfId="0" applyFont="1" applyProtection="1">
      <protection locked="0"/>
    </xf>
    <xf numFmtId="1" fontId="8" fillId="0" borderId="0" xfId="0" applyNumberFormat="1" applyFont="1" applyProtection="1">
      <protection locked="0"/>
    </xf>
    <xf numFmtId="9" fontId="8" fillId="0" borderId="0" xfId="1" applyFont="1"/>
    <xf numFmtId="0" fontId="8" fillId="0" borderId="0" xfId="0" applyFont="1" applyBorder="1" applyProtection="1">
      <protection locked="0"/>
    </xf>
    <xf numFmtId="1" fontId="8" fillId="0" borderId="4" xfId="0" applyNumberFormat="1" applyFont="1" applyBorder="1"/>
    <xf numFmtId="0" fontId="8" fillId="0" borderId="4" xfId="0" applyFont="1" applyBorder="1" applyProtection="1">
      <protection locked="0"/>
    </xf>
    <xf numFmtId="164" fontId="4" fillId="0" borderId="0" xfId="0" applyNumberFormat="1" applyFont="1"/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/>
    <xf numFmtId="2" fontId="10" fillId="0" borderId="0" xfId="0" applyNumberFormat="1" applyFont="1"/>
    <xf numFmtId="1" fontId="10" fillId="0" borderId="0" xfId="0" applyNumberFormat="1" applyFont="1"/>
    <xf numFmtId="165" fontId="10" fillId="0" borderId="0" xfId="0" applyNumberFormat="1" applyFont="1" applyProtection="1">
      <protection locked="0"/>
    </xf>
    <xf numFmtId="2" fontId="10" fillId="0" borderId="0" xfId="0" applyNumberFormat="1" applyFont="1" applyProtection="1">
      <protection locked="0"/>
    </xf>
    <xf numFmtId="0" fontId="10" fillId="0" borderId="1" xfId="0" applyFont="1" applyBorder="1" applyProtection="1">
      <protection locked="0"/>
    </xf>
    <xf numFmtId="166" fontId="10" fillId="0" borderId="0" xfId="0" applyNumberFormat="1" applyFont="1" applyProtection="1">
      <protection locked="0"/>
    </xf>
    <xf numFmtId="1" fontId="10" fillId="0" borderId="0" xfId="0" applyNumberFormat="1" applyFont="1" applyProtection="1">
      <protection locked="0"/>
    </xf>
    <xf numFmtId="0" fontId="10" fillId="0" borderId="3" xfId="0" applyFont="1" applyBorder="1" applyProtection="1">
      <protection locked="0"/>
    </xf>
    <xf numFmtId="2" fontId="10" fillId="0" borderId="5" xfId="0" applyNumberFormat="1" applyFont="1" applyBorder="1"/>
    <xf numFmtId="2" fontId="10" fillId="0" borderId="0" xfId="0" applyNumberFormat="1" applyFont="1" applyBorder="1"/>
    <xf numFmtId="1" fontId="10" fillId="0" borderId="5" xfId="0" applyNumberFormat="1" applyFont="1" applyBorder="1"/>
    <xf numFmtId="0" fontId="10" fillId="0" borderId="6" xfId="0" applyFont="1" applyBorder="1" applyProtection="1">
      <protection locked="0"/>
    </xf>
    <xf numFmtId="1" fontId="10" fillId="0" borderId="4" xfId="0" applyNumberFormat="1" applyFont="1" applyBorder="1"/>
    <xf numFmtId="167" fontId="10" fillId="0" borderId="0" xfId="0" applyNumberFormat="1" applyFont="1"/>
    <xf numFmtId="164" fontId="10" fillId="0" borderId="0" xfId="0" applyNumberFormat="1" applyFont="1"/>
    <xf numFmtId="0" fontId="10" fillId="0" borderId="0" xfId="0" applyFont="1" applyAlignment="1">
      <alignment horizontal="center"/>
    </xf>
    <xf numFmtId="167" fontId="4" fillId="0" borderId="0" xfId="0" applyNumberFormat="1" applyFont="1"/>
    <xf numFmtId="6" fontId="4" fillId="0" borderId="0" xfId="0" applyNumberFormat="1" applyFont="1" applyProtection="1">
      <protection locked="0"/>
    </xf>
    <xf numFmtId="165" fontId="4" fillId="0" borderId="0" xfId="0" applyNumberFormat="1" applyFont="1" applyProtection="1">
      <protection locked="0"/>
    </xf>
    <xf numFmtId="2" fontId="4" fillId="0" borderId="4" xfId="0" applyNumberFormat="1" applyFont="1" applyBorder="1"/>
    <xf numFmtId="0" fontId="4" fillId="0" borderId="4" xfId="0" applyFont="1" applyBorder="1"/>
    <xf numFmtId="0" fontId="4" fillId="0" borderId="4" xfId="0" applyFont="1" applyBorder="1" applyProtection="1">
      <protection locked="0"/>
    </xf>
    <xf numFmtId="8" fontId="4" fillId="0" borderId="0" xfId="0" applyNumberFormat="1" applyFont="1"/>
    <xf numFmtId="164" fontId="4" fillId="0" borderId="0" xfId="0" applyNumberFormat="1" applyFont="1" applyProtection="1">
      <protection locked="0"/>
    </xf>
    <xf numFmtId="6" fontId="4" fillId="0" borderId="0" xfId="0" applyNumberFormat="1" applyFont="1"/>
    <xf numFmtId="1" fontId="4" fillId="0" borderId="0" xfId="0" applyNumberFormat="1" applyFont="1" applyBorder="1"/>
    <xf numFmtId="164" fontId="4" fillId="0" borderId="0" xfId="0" applyNumberFormat="1" applyFont="1" applyBorder="1" applyProtection="1">
      <protection locked="0"/>
    </xf>
    <xf numFmtId="6" fontId="4" fillId="0" borderId="0" xfId="0" applyNumberFormat="1" applyFont="1" applyBorder="1"/>
    <xf numFmtId="0" fontId="2" fillId="0" borderId="7" xfId="0" applyFont="1" applyBorder="1"/>
    <xf numFmtId="0" fontId="4" fillId="0" borderId="7" xfId="0" applyFont="1" applyBorder="1"/>
    <xf numFmtId="1" fontId="4" fillId="0" borderId="7" xfId="0" applyNumberFormat="1" applyFont="1" applyBorder="1"/>
    <xf numFmtId="164" fontId="4" fillId="0" borderId="7" xfId="0" applyNumberFormat="1" applyFont="1" applyBorder="1" applyProtection="1">
      <protection locked="0"/>
    </xf>
    <xf numFmtId="8" fontId="4" fillId="0" borderId="7" xfId="0" applyNumberFormat="1" applyFont="1" applyBorder="1"/>
    <xf numFmtId="0" fontId="3" fillId="0" borderId="0" xfId="0" applyFont="1" applyProtection="1">
      <protection locked="0"/>
    </xf>
    <xf numFmtId="0" fontId="4" fillId="0" borderId="0" xfId="0" quotePrefix="1" applyFont="1"/>
    <xf numFmtId="0" fontId="13" fillId="0" borderId="0" xfId="0" applyFont="1"/>
    <xf numFmtId="0" fontId="6" fillId="0" borderId="0" xfId="0" applyFont="1" applyBorder="1" applyProtection="1">
      <protection locked="0"/>
    </xf>
    <xf numFmtId="0" fontId="2" fillId="0" borderId="2" xfId="0" applyFont="1" applyBorder="1" applyProtection="1">
      <protection locked="0"/>
    </xf>
    <xf numFmtId="14" fontId="2" fillId="0" borderId="0" xfId="0" applyNumberFormat="1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6" fontId="14" fillId="2" borderId="0" xfId="0" applyNumberFormat="1" applyFont="1" applyFill="1" applyBorder="1"/>
    <xf numFmtId="6" fontId="14" fillId="0" borderId="0" xfId="0" applyNumberFormat="1" applyFont="1" applyFill="1" applyBorder="1"/>
    <xf numFmtId="2" fontId="2" fillId="3" borderId="0" xfId="0" applyNumberFormat="1" applyFont="1" applyFill="1"/>
    <xf numFmtId="0" fontId="4" fillId="2" borderId="0" xfId="0" applyFont="1" applyFill="1"/>
    <xf numFmtId="2" fontId="2" fillId="3" borderId="2" xfId="0" applyNumberFormat="1" applyFont="1" applyFill="1" applyBorder="1"/>
    <xf numFmtId="2" fontId="2" fillId="3" borderId="0" xfId="0" applyNumberFormat="1" applyFont="1" applyFill="1" applyBorder="1"/>
    <xf numFmtId="0" fontId="7" fillId="0" borderId="2" xfId="0" applyFont="1" applyBorder="1"/>
    <xf numFmtId="0" fontId="0" fillId="0" borderId="2" xfId="0" applyBorder="1"/>
    <xf numFmtId="0" fontId="4" fillId="0" borderId="2" xfId="0" applyFont="1" applyBorder="1"/>
    <xf numFmtId="0" fontId="7" fillId="0" borderId="0" xfId="0" applyFont="1" applyFill="1" applyBorder="1"/>
    <xf numFmtId="2" fontId="0" fillId="0" borderId="0" xfId="0" applyNumberFormat="1"/>
    <xf numFmtId="0" fontId="7" fillId="0" borderId="0" xfId="0" applyFont="1" applyBorder="1"/>
    <xf numFmtId="0" fontId="17" fillId="0" borderId="0" xfId="0" applyFont="1" applyFill="1" applyBorder="1"/>
    <xf numFmtId="0" fontId="14" fillId="0" borderId="0" xfId="0" applyFont="1" applyFill="1" applyBorder="1"/>
    <xf numFmtId="0" fontId="14" fillId="0" borderId="2" xfId="0" applyFont="1" applyBorder="1"/>
    <xf numFmtId="6" fontId="14" fillId="2" borderId="2" xfId="0" applyNumberFormat="1" applyFont="1" applyFill="1" applyBorder="1"/>
    <xf numFmtId="165" fontId="2" fillId="3" borderId="0" xfId="0" applyNumberFormat="1" applyFont="1" applyFill="1"/>
    <xf numFmtId="0" fontId="0" fillId="2" borderId="0" xfId="0" applyFill="1"/>
    <xf numFmtId="0" fontId="2" fillId="3" borderId="0" xfId="0" applyFont="1" applyFill="1"/>
    <xf numFmtId="0" fontId="14" fillId="0" borderId="0" xfId="0" applyFont="1"/>
    <xf numFmtId="0" fontId="17" fillId="0" borderId="0" xfId="0" applyFont="1"/>
    <xf numFmtId="0" fontId="14" fillId="0" borderId="0" xfId="0" applyFont="1" applyFill="1" applyBorder="1" applyAlignment="1"/>
    <xf numFmtId="2" fontId="2" fillId="0" borderId="0" xfId="0" applyNumberFormat="1" applyFont="1" applyFill="1"/>
    <xf numFmtId="0" fontId="4" fillId="0" borderId="0" xfId="0" applyFont="1" applyFill="1"/>
    <xf numFmtId="2" fontId="2" fillId="0" borderId="0" xfId="0" applyNumberFormat="1" applyFont="1" applyFill="1" applyBorder="1"/>
    <xf numFmtId="164" fontId="4" fillId="2" borderId="0" xfId="0" applyNumberFormat="1" applyFont="1" applyFill="1" applyBorder="1" applyAlignment="1">
      <alignment horizontal="right"/>
    </xf>
    <xf numFmtId="0" fontId="14" fillId="0" borderId="0" xfId="0" applyFont="1" applyBorder="1"/>
    <xf numFmtId="167" fontId="0" fillId="0" borderId="2" xfId="0" applyNumberFormat="1" applyBorder="1"/>
    <xf numFmtId="4" fontId="2" fillId="0" borderId="0" xfId="0" applyNumberFormat="1" applyFont="1" applyFill="1"/>
    <xf numFmtId="4" fontId="14" fillId="0" borderId="0" xfId="0" applyNumberFormat="1" applyFont="1" applyFill="1" applyBorder="1"/>
    <xf numFmtId="4" fontId="14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 applyAlignment="1">
      <alignment horizontal="right"/>
    </xf>
    <xf numFmtId="4" fontId="0" fillId="0" borderId="0" xfId="0" applyNumberFormat="1"/>
    <xf numFmtId="4" fontId="0" fillId="0" borderId="0" xfId="0" applyNumberFormat="1" applyFill="1"/>
    <xf numFmtId="4" fontId="14" fillId="0" borderId="2" xfId="0" applyNumberFormat="1" applyFont="1" applyBorder="1"/>
    <xf numFmtId="4" fontId="0" fillId="0" borderId="2" xfId="0" applyNumberFormat="1" applyBorder="1"/>
    <xf numFmtId="4" fontId="14" fillId="0" borderId="0" xfId="0" applyNumberFormat="1" applyFont="1" applyBorder="1"/>
    <xf numFmtId="4" fontId="0" fillId="0" borderId="0" xfId="0" applyNumberFormat="1" applyBorder="1"/>
    <xf numFmtId="167" fontId="2" fillId="4" borderId="2" xfId="0" applyNumberFormat="1" applyFont="1" applyFill="1" applyBorder="1"/>
    <xf numFmtId="2" fontId="4" fillId="0" borderId="0" xfId="0" applyNumberFormat="1" applyFont="1" applyFill="1"/>
    <xf numFmtId="167" fontId="1" fillId="0" borderId="0" xfId="0" applyNumberFormat="1" applyFont="1" applyFill="1" applyBorder="1"/>
    <xf numFmtId="0" fontId="1" fillId="0" borderId="0" xfId="0" applyFont="1" applyAlignment="1"/>
    <xf numFmtId="0" fontId="4" fillId="0" borderId="0" xfId="0" applyFont="1" applyAlignment="1"/>
    <xf numFmtId="0" fontId="4" fillId="0" borderId="0" xfId="0" quotePrefix="1" applyFont="1" applyAlignment="1"/>
    <xf numFmtId="0" fontId="12" fillId="0" borderId="0" xfId="0" applyFont="1" applyAlignment="1"/>
    <xf numFmtId="4" fontId="18" fillId="0" borderId="0" xfId="0" applyNumberFormat="1" applyFont="1" applyProtection="1">
      <protection locked="0"/>
    </xf>
    <xf numFmtId="4" fontId="18" fillId="0" borderId="0" xfId="0" applyNumberFormat="1" applyFont="1" applyAlignment="1">
      <alignment horizontal="center"/>
    </xf>
    <xf numFmtId="4" fontId="18" fillId="0" borderId="0" xfId="0" applyNumberFormat="1" applyFont="1"/>
    <xf numFmtId="2" fontId="18" fillId="0" borderId="0" xfId="0" applyNumberFormat="1" applyFont="1" applyProtection="1">
      <protection locked="0"/>
    </xf>
    <xf numFmtId="0" fontId="7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57150</xdr:rowOff>
    </xdr:from>
    <xdr:to>
      <xdr:col>2</xdr:col>
      <xdr:colOff>431800</xdr:colOff>
      <xdr:row>4</xdr:row>
      <xdr:rowOff>57150</xdr:rowOff>
    </xdr:to>
    <xdr:pic>
      <xdr:nvPicPr>
        <xdr:cNvPr id="2098" name="Picture 2" descr="web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57150"/>
          <a:ext cx="6794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"/>
  <sheetViews>
    <sheetView tabSelected="1" view="pageBreakPreview" zoomScaleNormal="100" zoomScaleSheetLayoutView="100" workbookViewId="0">
      <selection activeCell="F1" sqref="F1:L1"/>
    </sheetView>
  </sheetViews>
  <sheetFormatPr defaultRowHeight="12.5" x14ac:dyDescent="0.25"/>
  <cols>
    <col min="1" max="2" width="2.7265625" style="10" customWidth="1"/>
    <col min="3" max="3" width="9.1796875" style="10" customWidth="1"/>
    <col min="4" max="4" width="9.1796875" style="9" customWidth="1"/>
    <col min="5" max="5" width="3.453125" style="9" customWidth="1"/>
    <col min="6" max="6" width="9.1796875" style="9" customWidth="1"/>
    <col min="7" max="7" width="11.26953125" style="9" customWidth="1"/>
    <col min="8" max="8" width="7.7265625" style="9" customWidth="1"/>
    <col min="9" max="9" width="11.81640625" style="9" customWidth="1"/>
    <col min="10" max="10" width="8.7265625" style="9" customWidth="1"/>
    <col min="11" max="12" width="6.81640625" style="9" customWidth="1"/>
    <col min="13" max="13" width="10.7265625" style="9" bestFit="1" customWidth="1"/>
    <col min="14" max="15" width="9.1796875" style="9" customWidth="1"/>
    <col min="16" max="16" width="1.26953125" style="9" customWidth="1"/>
    <col min="17" max="17" width="9.1796875" style="10" customWidth="1"/>
  </cols>
  <sheetData>
    <row r="1" spans="1:17" ht="16.5" customHeight="1" x14ac:dyDescent="0.35">
      <c r="A1" s="7"/>
      <c r="B1" s="7"/>
      <c r="C1" s="7"/>
      <c r="D1" s="3"/>
      <c r="E1" s="3"/>
      <c r="F1" s="148" t="s">
        <v>139</v>
      </c>
      <c r="G1" s="149"/>
      <c r="H1" s="149"/>
      <c r="I1" s="149"/>
      <c r="J1" s="149"/>
      <c r="K1" s="149"/>
      <c r="L1" s="149"/>
    </row>
    <row r="2" spans="1:17" ht="15.5" x14ac:dyDescent="0.35">
      <c r="A2" s="148" t="s">
        <v>57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1"/>
    </row>
    <row r="3" spans="1:17" x14ac:dyDescent="0.25">
      <c r="Q3" s="11"/>
    </row>
    <row r="4" spans="1:17" x14ac:dyDescent="0.25">
      <c r="Q4" s="11"/>
    </row>
    <row r="5" spans="1:17" ht="16.5" customHeight="1" x14ac:dyDescent="0.3">
      <c r="A5" s="11"/>
      <c r="B5" s="11"/>
      <c r="C5" s="89"/>
      <c r="D5" s="88"/>
      <c r="E5" s="12"/>
      <c r="F5" s="150" t="s">
        <v>77</v>
      </c>
      <c r="G5" s="150"/>
      <c r="H5" s="150"/>
      <c r="I5" s="150"/>
      <c r="J5" s="150"/>
      <c r="K5" s="150"/>
      <c r="L5" s="150"/>
      <c r="M5" s="88"/>
    </row>
    <row r="6" spans="1:17" ht="16.5" customHeight="1" x14ac:dyDescent="0.3">
      <c r="A6" s="11"/>
      <c r="B6" s="11"/>
      <c r="C6" s="89"/>
      <c r="D6" s="88"/>
      <c r="E6" s="12"/>
      <c r="F6" s="21"/>
      <c r="G6" s="21"/>
      <c r="H6" s="21"/>
      <c r="I6" s="21"/>
      <c r="J6" s="21"/>
      <c r="K6" s="21"/>
      <c r="L6" s="21"/>
      <c r="M6" s="88"/>
      <c r="N6" s="8" t="s">
        <v>83</v>
      </c>
      <c r="O6" s="91">
        <v>41396</v>
      </c>
    </row>
    <row r="7" spans="1:17" ht="13" x14ac:dyDescent="0.3">
      <c r="A7" s="14"/>
      <c r="B7" s="14"/>
      <c r="C7" s="90" t="s">
        <v>0</v>
      </c>
      <c r="D7" s="15"/>
      <c r="E7" s="146" t="s">
        <v>1</v>
      </c>
      <c r="F7" s="146"/>
      <c r="G7" s="146"/>
      <c r="H7" s="146"/>
      <c r="I7" s="16"/>
      <c r="J7" s="15"/>
      <c r="K7" s="15"/>
      <c r="L7" s="146" t="s">
        <v>52</v>
      </c>
      <c r="M7" s="146"/>
      <c r="N7" s="146"/>
      <c r="O7" s="146"/>
      <c r="P7" s="15"/>
      <c r="Q7" s="17" t="s">
        <v>2</v>
      </c>
    </row>
    <row r="8" spans="1:17" ht="13" x14ac:dyDescent="0.3">
      <c r="A8" s="18"/>
      <c r="B8" s="18"/>
      <c r="C8" s="19"/>
      <c r="D8" s="20"/>
      <c r="E8" s="20"/>
      <c r="F8" s="20"/>
      <c r="G8" s="20"/>
      <c r="H8" s="20"/>
      <c r="I8" s="21" t="s">
        <v>61</v>
      </c>
      <c r="J8" s="20"/>
      <c r="K8" s="20" t="s">
        <v>122</v>
      </c>
      <c r="L8" s="147" t="s">
        <v>42</v>
      </c>
      <c r="M8" s="147"/>
      <c r="N8" s="147"/>
      <c r="O8" s="147"/>
      <c r="P8" s="20"/>
      <c r="Q8" s="22" t="s">
        <v>3</v>
      </c>
    </row>
    <row r="9" spans="1:17" ht="13" x14ac:dyDescent="0.3">
      <c r="A9" s="18"/>
      <c r="B9" s="18"/>
      <c r="D9" s="23"/>
      <c r="E9" s="23"/>
      <c r="F9" s="4">
        <v>1.25</v>
      </c>
      <c r="G9" s="4">
        <v>1.5</v>
      </c>
      <c r="H9" s="4">
        <v>1.75</v>
      </c>
      <c r="I9" s="4" t="s">
        <v>60</v>
      </c>
      <c r="J9" s="23"/>
      <c r="K9" s="20" t="s">
        <v>123</v>
      </c>
      <c r="L9" s="23"/>
      <c r="M9" s="4">
        <v>1.25</v>
      </c>
      <c r="N9" s="4">
        <v>1.5</v>
      </c>
      <c r="O9" s="4">
        <v>1.75</v>
      </c>
      <c r="P9" s="24"/>
      <c r="Q9" s="18"/>
    </row>
    <row r="10" spans="1:17" ht="13" x14ac:dyDescent="0.3">
      <c r="A10" s="25"/>
      <c r="B10" s="25"/>
      <c r="C10" s="25"/>
      <c r="D10" s="26"/>
      <c r="E10" s="26"/>
      <c r="F10" s="150" t="s">
        <v>51</v>
      </c>
      <c r="G10" s="150"/>
      <c r="H10" s="150"/>
      <c r="I10" s="13"/>
      <c r="J10" s="26"/>
      <c r="K10" s="26"/>
      <c r="L10" s="26"/>
      <c r="M10" s="150" t="s">
        <v>4</v>
      </c>
      <c r="N10" s="150"/>
      <c r="O10" s="150"/>
      <c r="P10" s="27"/>
      <c r="Q10" s="25"/>
    </row>
    <row r="11" spans="1:17" ht="5.25" customHeight="1" x14ac:dyDescent="0.25">
      <c r="M11" s="6"/>
      <c r="N11" s="6"/>
      <c r="O11" s="6"/>
      <c r="P11" s="6"/>
    </row>
    <row r="12" spans="1:17" ht="13" x14ac:dyDescent="0.3">
      <c r="A12" s="28" t="s">
        <v>5</v>
      </c>
    </row>
    <row r="13" spans="1:17" ht="15" x14ac:dyDescent="0.3">
      <c r="B13" s="10" t="s">
        <v>62</v>
      </c>
      <c r="F13" s="29">
        <f>125*1.25</f>
        <v>156.25</v>
      </c>
      <c r="G13" s="29">
        <f>125*1.5</f>
        <v>187.5</v>
      </c>
      <c r="H13" s="29">
        <f>125*1.75</f>
        <v>218.75</v>
      </c>
      <c r="I13" s="29"/>
      <c r="J13" s="9" t="s">
        <v>6</v>
      </c>
      <c r="K13" s="141">
        <v>1.85</v>
      </c>
      <c r="L13" s="9" t="s">
        <v>7</v>
      </c>
      <c r="M13" s="30">
        <f>+F13*K13</f>
        <v>289.0625</v>
      </c>
      <c r="N13" s="30">
        <f>+G13*K13</f>
        <v>346.875</v>
      </c>
      <c r="O13" s="30">
        <f>+H13*K13</f>
        <v>404.6875</v>
      </c>
      <c r="P13" s="31"/>
      <c r="Q13" s="25"/>
    </row>
    <row r="14" spans="1:17" ht="15" x14ac:dyDescent="0.3">
      <c r="B14" s="10" t="s">
        <v>63</v>
      </c>
      <c r="F14" s="32"/>
      <c r="G14" s="32"/>
      <c r="H14" s="32"/>
      <c r="I14" s="32"/>
      <c r="K14" s="142"/>
      <c r="L14" s="32"/>
      <c r="M14" s="29"/>
      <c r="N14" s="29"/>
      <c r="O14" s="29"/>
      <c r="P14" s="31"/>
      <c r="Q14" s="33"/>
    </row>
    <row r="15" spans="1:17" ht="13" x14ac:dyDescent="0.3">
      <c r="D15" s="9" t="s">
        <v>42</v>
      </c>
      <c r="H15" s="9">
        <v>6</v>
      </c>
      <c r="J15" s="9" t="s">
        <v>6</v>
      </c>
      <c r="K15" s="143">
        <v>0.6</v>
      </c>
      <c r="L15" s="9" t="s">
        <v>7</v>
      </c>
      <c r="M15" s="35">
        <f>+H15*K15</f>
        <v>3.5999999999999996</v>
      </c>
      <c r="N15" s="35">
        <f>+H15*K15</f>
        <v>3.5999999999999996</v>
      </c>
      <c r="O15" s="35">
        <f>+H15*K15</f>
        <v>3.5999999999999996</v>
      </c>
      <c r="P15" s="31"/>
      <c r="Q15" s="14"/>
    </row>
    <row r="16" spans="1:17" ht="13" x14ac:dyDescent="0.3">
      <c r="D16" s="9" t="s">
        <v>43</v>
      </c>
      <c r="F16" s="36">
        <v>0.25</v>
      </c>
      <c r="G16" s="37" t="s">
        <v>44</v>
      </c>
      <c r="H16" s="38">
        <v>3</v>
      </c>
      <c r="I16" s="38"/>
      <c r="J16" s="38" t="s">
        <v>6</v>
      </c>
      <c r="K16" s="143">
        <v>0.4</v>
      </c>
      <c r="L16" s="38" t="s">
        <v>7</v>
      </c>
      <c r="M16" s="40">
        <f>+F16*H16*K16*M9</f>
        <v>0.37500000000000006</v>
      </c>
      <c r="N16" s="40">
        <f>+F16*H16*K16*N9</f>
        <v>0.45000000000000007</v>
      </c>
      <c r="O16" s="40">
        <f>+F16*H16*K16*O9</f>
        <v>0.52500000000000013</v>
      </c>
      <c r="P16" s="41"/>
      <c r="Q16" s="42"/>
    </row>
    <row r="17" spans="1:17" ht="15" x14ac:dyDescent="0.3">
      <c r="A17" s="43"/>
      <c r="B17" s="43" t="s">
        <v>64</v>
      </c>
      <c r="C17" s="43"/>
      <c r="D17" s="38"/>
      <c r="E17" s="38"/>
      <c r="F17" s="38"/>
      <c r="G17" s="38"/>
      <c r="H17" s="38"/>
      <c r="I17" s="38"/>
      <c r="J17" s="38"/>
      <c r="K17" s="143"/>
      <c r="L17" s="38"/>
      <c r="M17" s="44"/>
      <c r="N17" s="44"/>
      <c r="O17" s="44"/>
      <c r="P17" s="41"/>
      <c r="Q17" s="42"/>
    </row>
    <row r="18" spans="1:17" ht="12.75" customHeight="1" x14ac:dyDescent="0.3">
      <c r="A18" s="43"/>
      <c r="B18" s="43"/>
      <c r="C18" s="43"/>
      <c r="D18" s="43" t="s">
        <v>42</v>
      </c>
      <c r="E18" s="38"/>
      <c r="F18" s="45">
        <v>0.16</v>
      </c>
      <c r="G18" s="145" t="s">
        <v>49</v>
      </c>
      <c r="H18" s="38">
        <v>200</v>
      </c>
      <c r="I18" s="38"/>
      <c r="J18" s="38" t="s">
        <v>46</v>
      </c>
      <c r="K18" s="143">
        <v>60</v>
      </c>
      <c r="L18" s="38" t="s">
        <v>45</v>
      </c>
      <c r="M18" s="40">
        <f>+F18*H18*K18/100</f>
        <v>19.2</v>
      </c>
      <c r="N18" s="40">
        <f>+F18*H18*K18/100</f>
        <v>19.2</v>
      </c>
      <c r="O18" s="40">
        <f>+F18*H18*K18/100</f>
        <v>19.2</v>
      </c>
      <c r="P18" s="41"/>
      <c r="Q18" s="46"/>
    </row>
    <row r="19" spans="1:17" ht="13" x14ac:dyDescent="0.3">
      <c r="A19" s="43"/>
      <c r="B19" s="43"/>
      <c r="C19" s="43"/>
      <c r="D19" s="43" t="s">
        <v>48</v>
      </c>
      <c r="E19" s="38"/>
      <c r="F19" s="45">
        <v>0.25</v>
      </c>
      <c r="G19" s="145"/>
      <c r="H19" s="38">
        <v>250</v>
      </c>
      <c r="I19" s="38"/>
      <c r="J19" s="38" t="s">
        <v>47</v>
      </c>
      <c r="K19" s="143">
        <v>50</v>
      </c>
      <c r="L19" s="38" t="s">
        <v>45</v>
      </c>
      <c r="M19" s="40">
        <f>+F19*H19*K19/100/35</f>
        <v>0.8928571428571429</v>
      </c>
      <c r="N19" s="40">
        <f>+F19*H19*K19/100/35</f>
        <v>0.8928571428571429</v>
      </c>
      <c r="O19" s="40">
        <f>+F19*H19*K19/100/35</f>
        <v>0.8928571428571429</v>
      </c>
      <c r="P19" s="41"/>
      <c r="Q19" s="46"/>
    </row>
    <row r="20" spans="1:17" ht="13" x14ac:dyDescent="0.3">
      <c r="A20" s="43"/>
      <c r="B20" s="43"/>
      <c r="C20" s="43"/>
      <c r="D20" s="38"/>
      <c r="E20" s="38"/>
      <c r="F20" s="38"/>
      <c r="G20" s="38"/>
      <c r="H20" s="38"/>
      <c r="I20" s="38"/>
      <c r="J20" s="38"/>
      <c r="K20" s="143"/>
      <c r="L20" s="38"/>
      <c r="M20" s="47"/>
      <c r="N20" s="47"/>
      <c r="O20" s="47"/>
      <c r="P20" s="47"/>
      <c r="Q20" s="48"/>
    </row>
    <row r="21" spans="1:17" ht="13" x14ac:dyDescent="0.3">
      <c r="A21" s="28" t="s">
        <v>8</v>
      </c>
      <c r="K21" s="143"/>
      <c r="M21" s="49">
        <f>SUM(M13:M19)</f>
        <v>313.13035714285718</v>
      </c>
      <c r="N21" s="49">
        <f>SUM(N13:N19)</f>
        <v>371.01785714285717</v>
      </c>
      <c r="O21" s="49">
        <f>SUM(O13:O19)</f>
        <v>428.90535714285716</v>
      </c>
      <c r="P21" s="31"/>
      <c r="Q21" s="25"/>
    </row>
    <row r="22" spans="1:17" ht="13" x14ac:dyDescent="0.3">
      <c r="K22" s="143"/>
      <c r="M22" s="31"/>
      <c r="N22" s="31"/>
      <c r="O22" s="31"/>
      <c r="P22" s="31"/>
    </row>
    <row r="23" spans="1:17" ht="13" x14ac:dyDescent="0.3">
      <c r="A23" s="28" t="s">
        <v>9</v>
      </c>
      <c r="K23" s="143"/>
      <c r="M23" s="31"/>
      <c r="N23" s="31"/>
      <c r="O23" s="31"/>
      <c r="P23" s="31"/>
    </row>
    <row r="24" spans="1:17" ht="15" x14ac:dyDescent="0.3">
      <c r="B24" s="10" t="s">
        <v>65</v>
      </c>
      <c r="K24" s="143"/>
      <c r="M24" s="31"/>
      <c r="N24" s="31"/>
      <c r="O24" s="31"/>
      <c r="P24" s="31"/>
    </row>
    <row r="25" spans="1:17" ht="13" x14ac:dyDescent="0.3">
      <c r="B25" s="50" t="s">
        <v>10</v>
      </c>
      <c r="C25" s="51"/>
      <c r="D25" s="52"/>
      <c r="E25" s="52"/>
      <c r="F25" s="52"/>
      <c r="G25" s="52"/>
      <c r="H25" s="52"/>
      <c r="I25" s="52"/>
      <c r="J25" s="52"/>
      <c r="K25" s="143"/>
      <c r="L25" s="52"/>
      <c r="M25" s="54"/>
      <c r="N25" s="54"/>
      <c r="O25" s="54"/>
      <c r="P25" s="54"/>
      <c r="Q25" s="51"/>
    </row>
    <row r="26" spans="1:17" ht="13" x14ac:dyDescent="0.3">
      <c r="A26" s="51"/>
      <c r="B26" s="51"/>
      <c r="C26" s="51" t="s">
        <v>11</v>
      </c>
      <c r="D26" s="52"/>
      <c r="E26" s="52"/>
      <c r="F26" s="55">
        <f>(((((F13-81.25)*4.5)*0.77)+50)/56)</f>
        <v>5.5334821428571432</v>
      </c>
      <c r="G26" s="55">
        <f>((((G13-97.5)*4.5)*0.77)+60)/56</f>
        <v>6.6401785714285717</v>
      </c>
      <c r="H26" s="55">
        <f>((((H13-113.75)*4.5)*0.77)+70)/56</f>
        <v>7.7468750000000002</v>
      </c>
      <c r="I26" s="55"/>
      <c r="J26" s="53" t="s">
        <v>12</v>
      </c>
      <c r="K26" s="141">
        <v>7</v>
      </c>
      <c r="L26" s="54" t="s">
        <v>13</v>
      </c>
      <c r="M26" s="53">
        <f>F26*K26</f>
        <v>38.734375</v>
      </c>
      <c r="N26" s="53">
        <f>G26*K26</f>
        <v>46.481250000000003</v>
      </c>
      <c r="O26" s="53">
        <f>H26*K26</f>
        <v>54.228124999999999</v>
      </c>
      <c r="P26" s="54"/>
      <c r="Q26" s="57"/>
    </row>
    <row r="27" spans="1:17" ht="13" x14ac:dyDescent="0.3">
      <c r="A27" s="51"/>
      <c r="B27" s="51"/>
      <c r="C27" s="51" t="s">
        <v>14</v>
      </c>
      <c r="D27" s="52"/>
      <c r="E27" s="52"/>
      <c r="F27" s="58">
        <f>((((F13-81.25)*4.5)*0.16))/2000</f>
        <v>2.7E-2</v>
      </c>
      <c r="G27" s="58">
        <f>(((G13-97.5)*4.5)*0.16)/2000</f>
        <v>3.2399999999999998E-2</v>
      </c>
      <c r="H27" s="58">
        <f>(((H13-113.75)*4.5)*0.16)/2000</f>
        <v>3.7800000000000007E-2</v>
      </c>
      <c r="I27" s="58"/>
      <c r="J27" s="53" t="s">
        <v>15</v>
      </c>
      <c r="K27" s="141">
        <v>180</v>
      </c>
      <c r="L27" s="54" t="s">
        <v>16</v>
      </c>
      <c r="M27" s="53">
        <f>F27*K27</f>
        <v>4.8600000000000003</v>
      </c>
      <c r="N27" s="53">
        <f>G27*K27</f>
        <v>5.8319999999999999</v>
      </c>
      <c r="O27" s="53">
        <f>H27*K27</f>
        <v>6.8040000000000012</v>
      </c>
      <c r="P27" s="54"/>
      <c r="Q27" s="60"/>
    </row>
    <row r="28" spans="1:17" ht="13" x14ac:dyDescent="0.3">
      <c r="A28" s="51"/>
      <c r="B28" s="51"/>
      <c r="C28" s="51" t="s">
        <v>17</v>
      </c>
      <c r="D28" s="52"/>
      <c r="E28" s="52"/>
      <c r="F28" s="59">
        <f>((((F13-81.25)*4.5)*0.05))+12</f>
        <v>28.875</v>
      </c>
      <c r="G28" s="59">
        <f>(((G13-97.5)*4.5)*0.05)+15</f>
        <v>35.25</v>
      </c>
      <c r="H28" s="59">
        <f>(((H13-113.75)*4.5)*0.05)+18</f>
        <v>41.625</v>
      </c>
      <c r="I28" s="59"/>
      <c r="J28" s="53" t="s">
        <v>6</v>
      </c>
      <c r="K28" s="141">
        <v>0.22</v>
      </c>
      <c r="L28" s="54" t="s">
        <v>7</v>
      </c>
      <c r="M28" s="53">
        <f>F28*K28</f>
        <v>6.3525</v>
      </c>
      <c r="N28" s="53">
        <f>G28*K28</f>
        <v>7.7549999999999999</v>
      </c>
      <c r="O28" s="53">
        <f>H28*K28</f>
        <v>9.1575000000000006</v>
      </c>
      <c r="P28" s="54"/>
      <c r="Q28" s="60"/>
    </row>
    <row r="29" spans="1:17" ht="13" x14ac:dyDescent="0.3">
      <c r="A29" s="51"/>
      <c r="B29" s="51"/>
      <c r="C29" s="51" t="s">
        <v>18</v>
      </c>
      <c r="D29" s="52"/>
      <c r="E29" s="52"/>
      <c r="F29" s="59">
        <f>((((F13-81.25)*4.5)*0.02))</f>
        <v>6.75</v>
      </c>
      <c r="G29" s="59">
        <f>(((G13-97.5)*4.5)*0.02)</f>
        <v>8.1</v>
      </c>
      <c r="H29" s="59">
        <f>(((H13-113.75)*4.5)*0.02)</f>
        <v>9.4500000000000011</v>
      </c>
      <c r="I29" s="59"/>
      <c r="J29" s="53" t="s">
        <v>6</v>
      </c>
      <c r="K29" s="141">
        <v>0.2</v>
      </c>
      <c r="L29" s="54" t="s">
        <v>7</v>
      </c>
      <c r="M29" s="53">
        <f>F29*K29</f>
        <v>1.35</v>
      </c>
      <c r="N29" s="53">
        <f>G29*K29</f>
        <v>1.62</v>
      </c>
      <c r="O29" s="53">
        <f>H29*K29</f>
        <v>1.8900000000000003</v>
      </c>
      <c r="P29" s="54"/>
      <c r="Q29" s="60"/>
    </row>
    <row r="30" spans="1:17" ht="13" x14ac:dyDescent="0.3">
      <c r="A30" s="51"/>
      <c r="B30" s="50" t="s">
        <v>19</v>
      </c>
      <c r="C30" s="51"/>
      <c r="D30" s="52"/>
      <c r="E30" s="52"/>
      <c r="F30" s="59"/>
      <c r="G30" s="51"/>
      <c r="H30" s="51"/>
      <c r="I30" s="51"/>
      <c r="J30" s="53"/>
      <c r="K30" s="141"/>
      <c r="L30" s="54"/>
      <c r="M30" s="53"/>
      <c r="N30" s="53"/>
      <c r="O30" s="53"/>
      <c r="P30" s="54"/>
      <c r="Q30" s="51"/>
    </row>
    <row r="31" spans="1:17" ht="13" x14ac:dyDescent="0.3">
      <c r="A31" s="51"/>
      <c r="B31" s="51"/>
      <c r="C31" s="51" t="s">
        <v>11</v>
      </c>
      <c r="D31" s="52"/>
      <c r="E31" s="52"/>
      <c r="F31" s="55">
        <v>2</v>
      </c>
      <c r="G31" s="51">
        <v>2</v>
      </c>
      <c r="H31" s="51">
        <v>2</v>
      </c>
      <c r="I31" s="51"/>
      <c r="J31" s="53" t="s">
        <v>12</v>
      </c>
      <c r="K31" s="141">
        <v>7</v>
      </c>
      <c r="L31" s="54" t="s">
        <v>13</v>
      </c>
      <c r="M31" s="53">
        <f>F31*K31</f>
        <v>14</v>
      </c>
      <c r="N31" s="53">
        <f>G31*K31</f>
        <v>14</v>
      </c>
      <c r="O31" s="53">
        <f>H31*K31</f>
        <v>14</v>
      </c>
      <c r="P31" s="54"/>
      <c r="Q31" s="57"/>
    </row>
    <row r="32" spans="1:17" ht="13" x14ac:dyDescent="0.3">
      <c r="A32" s="51"/>
      <c r="B32" s="51"/>
      <c r="C32" s="51" t="s">
        <v>127</v>
      </c>
      <c r="D32" s="52"/>
      <c r="E32" s="52"/>
      <c r="F32" s="51">
        <v>0.33</v>
      </c>
      <c r="G32" s="51">
        <v>0.33</v>
      </c>
      <c r="H32" s="51">
        <v>0.33</v>
      </c>
      <c r="I32" s="51"/>
      <c r="J32" s="52" t="s">
        <v>15</v>
      </c>
      <c r="K32" s="141">
        <v>180</v>
      </c>
      <c r="L32" s="52" t="s">
        <v>16</v>
      </c>
      <c r="M32" s="53">
        <f>F32*K32</f>
        <v>59.400000000000006</v>
      </c>
      <c r="N32" s="53">
        <f>G32*K32</f>
        <v>59.400000000000006</v>
      </c>
      <c r="O32" s="53">
        <f>H32*K32</f>
        <v>59.400000000000006</v>
      </c>
      <c r="P32" s="54"/>
      <c r="Q32" s="60"/>
    </row>
    <row r="33" spans="1:17" ht="15" x14ac:dyDescent="0.3">
      <c r="A33" s="51"/>
      <c r="B33" s="51"/>
      <c r="C33" s="51" t="s">
        <v>126</v>
      </c>
      <c r="D33" s="52"/>
      <c r="E33" s="52"/>
      <c r="F33" s="51">
        <v>3</v>
      </c>
      <c r="G33" s="51" t="s">
        <v>125</v>
      </c>
      <c r="H33" s="51" t="s">
        <v>54</v>
      </c>
      <c r="I33" s="51"/>
      <c r="J33" s="52" t="s">
        <v>54</v>
      </c>
      <c r="K33" s="141">
        <v>50</v>
      </c>
      <c r="L33" s="54" t="s">
        <v>124</v>
      </c>
      <c r="M33" s="53">
        <f>$K33/$F33</f>
        <v>16.666666666666668</v>
      </c>
      <c r="N33" s="53">
        <f>$K33/$F33</f>
        <v>16.666666666666668</v>
      </c>
      <c r="O33" s="53">
        <f>$K33/$F33</f>
        <v>16.666666666666668</v>
      </c>
      <c r="P33" s="54"/>
      <c r="Q33" s="60"/>
    </row>
    <row r="34" spans="1:17" x14ac:dyDescent="0.25">
      <c r="A34" s="51"/>
      <c r="B34" s="51"/>
      <c r="C34" s="51" t="s">
        <v>21</v>
      </c>
      <c r="D34" s="52"/>
      <c r="E34" s="52"/>
      <c r="F34" s="52"/>
      <c r="G34" s="52"/>
      <c r="H34" s="52"/>
      <c r="I34" s="52"/>
      <c r="J34" s="52"/>
      <c r="K34" s="39"/>
      <c r="L34" s="52"/>
      <c r="M34" s="61">
        <v>2</v>
      </c>
      <c r="N34" s="61">
        <v>2</v>
      </c>
      <c r="O34" s="62">
        <v>2</v>
      </c>
      <c r="P34" s="63"/>
      <c r="Q34" s="64"/>
    </row>
    <row r="35" spans="1:17" x14ac:dyDescent="0.25">
      <c r="A35" s="51"/>
      <c r="B35" s="51"/>
      <c r="C35" s="51"/>
      <c r="D35" s="52"/>
      <c r="E35" s="52"/>
      <c r="F35" s="52"/>
      <c r="G35" s="52"/>
      <c r="H35" s="52"/>
      <c r="I35" s="52"/>
      <c r="J35" s="52"/>
      <c r="K35" s="39"/>
      <c r="L35" s="52"/>
      <c r="M35" s="54"/>
      <c r="N35" s="54"/>
      <c r="O35" s="65"/>
      <c r="P35" s="54"/>
      <c r="Q35" s="51"/>
    </row>
    <row r="36" spans="1:17" x14ac:dyDescent="0.25">
      <c r="A36" s="51" t="s">
        <v>22</v>
      </c>
      <c r="B36" s="51"/>
      <c r="C36" s="51"/>
      <c r="D36" s="52"/>
      <c r="E36" s="52"/>
      <c r="F36" s="52"/>
      <c r="G36" s="52"/>
      <c r="H36" s="52"/>
      <c r="I36" s="52"/>
      <c r="J36" s="52"/>
      <c r="K36" s="39"/>
      <c r="L36" s="52"/>
      <c r="M36" s="66">
        <f>SUM(M26:M34)</f>
        <v>143.36354166666666</v>
      </c>
      <c r="N36" s="66">
        <f>SUM(N26:N34)</f>
        <v>153.75491666666667</v>
      </c>
      <c r="O36" s="66">
        <f>SUM(O26:O34)</f>
        <v>164.14629166666666</v>
      </c>
      <c r="P36" s="54"/>
      <c r="Q36" s="57"/>
    </row>
    <row r="37" spans="1:17" x14ac:dyDescent="0.25">
      <c r="A37" s="51"/>
      <c r="B37" s="51"/>
      <c r="C37" s="51"/>
      <c r="D37" s="52"/>
      <c r="E37" s="52"/>
      <c r="F37" s="52"/>
      <c r="G37" s="52"/>
      <c r="H37" s="52"/>
      <c r="I37" s="52"/>
      <c r="J37" s="52"/>
      <c r="K37" s="39"/>
      <c r="L37" s="52"/>
      <c r="M37" s="54"/>
      <c r="N37" s="54"/>
      <c r="O37" s="54"/>
      <c r="P37" s="54"/>
      <c r="Q37" s="51"/>
    </row>
    <row r="38" spans="1:17" ht="14.5" x14ac:dyDescent="0.25">
      <c r="A38" s="51"/>
      <c r="B38" s="51" t="s">
        <v>66</v>
      </c>
      <c r="C38" s="51"/>
      <c r="D38" s="52"/>
      <c r="E38" s="52"/>
      <c r="F38" s="52"/>
      <c r="G38" s="52"/>
      <c r="H38" s="52"/>
      <c r="I38" s="52"/>
      <c r="J38" s="52"/>
      <c r="K38" s="39"/>
      <c r="L38" s="52"/>
      <c r="M38" s="39">
        <v>2.4</v>
      </c>
      <c r="N38" s="39">
        <v>2.4</v>
      </c>
      <c r="O38" s="39">
        <v>2.4</v>
      </c>
      <c r="P38" s="54"/>
      <c r="Q38" s="51"/>
    </row>
    <row r="39" spans="1:17" x14ac:dyDescent="0.25">
      <c r="A39" s="51"/>
      <c r="B39" s="51" t="s">
        <v>23</v>
      </c>
      <c r="C39" s="51"/>
      <c r="D39" s="52"/>
      <c r="E39" s="52"/>
      <c r="F39" s="52"/>
      <c r="G39" s="52"/>
      <c r="H39" s="52"/>
      <c r="I39" s="52"/>
      <c r="J39" s="52"/>
      <c r="K39" s="39"/>
      <c r="L39" s="52"/>
      <c r="M39" s="56">
        <v>6</v>
      </c>
      <c r="N39" s="56">
        <v>6</v>
      </c>
      <c r="O39" s="56">
        <v>6</v>
      </c>
      <c r="P39" s="54"/>
      <c r="Q39" s="57"/>
    </row>
    <row r="40" spans="1:17" ht="13" x14ac:dyDescent="0.3">
      <c r="A40" s="51"/>
      <c r="B40" s="51" t="s">
        <v>24</v>
      </c>
      <c r="C40" s="51"/>
      <c r="D40" s="52"/>
      <c r="E40" s="52"/>
      <c r="F40" s="56">
        <v>1.4</v>
      </c>
      <c r="G40" s="56">
        <v>1.7</v>
      </c>
      <c r="H40" s="56">
        <v>2</v>
      </c>
      <c r="I40" s="56"/>
      <c r="J40" s="52" t="s">
        <v>25</v>
      </c>
      <c r="K40" s="141">
        <v>2.5</v>
      </c>
      <c r="L40" s="52" t="s">
        <v>26</v>
      </c>
      <c r="M40" s="53">
        <f>F40*K40</f>
        <v>3.5</v>
      </c>
      <c r="N40" s="53">
        <f>G40*K40</f>
        <v>4.25</v>
      </c>
      <c r="O40" s="53">
        <f>H40*K40</f>
        <v>5</v>
      </c>
      <c r="P40" s="54"/>
      <c r="Q40" s="60"/>
    </row>
    <row r="41" spans="1:17" ht="13" x14ac:dyDescent="0.3">
      <c r="A41" s="51"/>
      <c r="B41" s="51" t="s">
        <v>27</v>
      </c>
      <c r="C41" s="51"/>
      <c r="D41" s="52"/>
      <c r="E41" s="52"/>
      <c r="F41" s="56">
        <v>1.3</v>
      </c>
      <c r="G41" s="56">
        <v>1.4</v>
      </c>
      <c r="H41" s="56">
        <v>1.4</v>
      </c>
      <c r="I41" s="56"/>
      <c r="J41" s="52" t="s">
        <v>25</v>
      </c>
      <c r="K41" s="141">
        <v>4.5</v>
      </c>
      <c r="L41" s="52" t="s">
        <v>26</v>
      </c>
      <c r="M41" s="53">
        <f>F41*K41</f>
        <v>5.8500000000000005</v>
      </c>
      <c r="N41" s="53">
        <f>G41*K41</f>
        <v>6.3</v>
      </c>
      <c r="O41" s="53">
        <f>H41*K41</f>
        <v>6.3</v>
      </c>
      <c r="P41" s="54"/>
      <c r="Q41" s="60"/>
    </row>
    <row r="42" spans="1:17" x14ac:dyDescent="0.25">
      <c r="A42" s="51"/>
      <c r="B42" s="51" t="s">
        <v>28</v>
      </c>
      <c r="C42" s="51"/>
      <c r="D42" s="52"/>
      <c r="E42" s="52"/>
      <c r="F42" s="52"/>
      <c r="G42" s="52"/>
      <c r="H42" s="52"/>
      <c r="I42" s="52"/>
      <c r="J42" s="52"/>
      <c r="K42" s="51"/>
      <c r="L42" s="52"/>
      <c r="M42" s="56">
        <v>3</v>
      </c>
      <c r="N42" s="56">
        <v>3</v>
      </c>
      <c r="O42" s="56">
        <v>3</v>
      </c>
      <c r="P42" s="54"/>
      <c r="Q42" s="60"/>
    </row>
    <row r="43" spans="1:17" ht="14.5" x14ac:dyDescent="0.25">
      <c r="A43" s="51"/>
      <c r="B43" s="51" t="s">
        <v>67</v>
      </c>
      <c r="C43" s="51"/>
      <c r="D43" s="52"/>
      <c r="E43" s="52"/>
      <c r="F43" s="67">
        <f>(M36/2)+((M38+M39+M41+M42)/2)</f>
        <v>80.306770833333331</v>
      </c>
      <c r="G43" s="67">
        <f>(N36/2)+((N38+N39+N41+N42)/2)</f>
        <v>85.727458333333331</v>
      </c>
      <c r="H43" s="67">
        <f>(O36/2)+((O38+O39+O41+O42)/2)</f>
        <v>90.923145833333322</v>
      </c>
      <c r="I43" s="67"/>
      <c r="J43" s="68" t="s">
        <v>29</v>
      </c>
      <c r="K43" s="59">
        <v>5</v>
      </c>
      <c r="L43" s="52" t="s">
        <v>30</v>
      </c>
      <c r="M43" s="61">
        <f>F43*(K43/100)</f>
        <v>4.0153385416666669</v>
      </c>
      <c r="N43" s="61">
        <f>G43*(K43/100)</f>
        <v>4.2863729166666671</v>
      </c>
      <c r="O43" s="61">
        <f>H43*(K43/100)</f>
        <v>4.5461572916666659</v>
      </c>
      <c r="P43" s="63"/>
      <c r="Q43" s="64"/>
    </row>
    <row r="44" spans="1:17" x14ac:dyDescent="0.25">
      <c r="A44" s="51"/>
      <c r="B44" s="51"/>
      <c r="C44" s="51"/>
      <c r="D44" s="52"/>
      <c r="E44" s="52"/>
      <c r="F44" s="52"/>
      <c r="G44" s="52"/>
      <c r="H44" s="52"/>
      <c r="I44" s="52"/>
      <c r="J44" s="52"/>
      <c r="K44" s="51"/>
      <c r="L44" s="52"/>
      <c r="M44" s="53"/>
      <c r="N44" s="53"/>
      <c r="O44" s="53"/>
      <c r="P44" s="54"/>
      <c r="Q44" s="51"/>
    </row>
    <row r="45" spans="1:17" ht="13" x14ac:dyDescent="0.3">
      <c r="A45" s="28" t="s">
        <v>31</v>
      </c>
      <c r="K45" s="10"/>
      <c r="M45" s="69">
        <f>SUM(M36:M43)</f>
        <v>168.12888020833333</v>
      </c>
      <c r="N45" s="69">
        <f>SUM(N36:N43)</f>
        <v>179.99128958333336</v>
      </c>
      <c r="O45" s="69">
        <f>SUM(O36:O43)</f>
        <v>191.39244895833335</v>
      </c>
      <c r="P45" s="31"/>
      <c r="Q45" s="25"/>
    </row>
    <row r="46" spans="1:17" x14ac:dyDescent="0.25">
      <c r="K46" s="10"/>
      <c r="M46" s="31"/>
      <c r="N46" s="31"/>
      <c r="O46" s="31"/>
      <c r="P46" s="31"/>
    </row>
    <row r="47" spans="1:17" ht="13" x14ac:dyDescent="0.3">
      <c r="A47" s="28" t="s">
        <v>32</v>
      </c>
      <c r="K47" s="10"/>
      <c r="M47" s="31"/>
      <c r="N47" s="31"/>
      <c r="O47" s="31"/>
      <c r="P47" s="31"/>
    </row>
    <row r="48" spans="1:17" ht="13" x14ac:dyDescent="0.3">
      <c r="B48" s="10" t="s">
        <v>33</v>
      </c>
      <c r="H48" s="9">
        <v>2</v>
      </c>
      <c r="J48" s="9" t="s">
        <v>34</v>
      </c>
      <c r="K48" s="144">
        <v>15</v>
      </c>
      <c r="L48" s="9" t="s">
        <v>35</v>
      </c>
      <c r="M48" s="34">
        <f>+$H$48*$K$48</f>
        <v>30</v>
      </c>
      <c r="N48" s="34">
        <f>+$H$48*$K$48</f>
        <v>30</v>
      </c>
      <c r="O48" s="34">
        <f>+$H$48*$K$48</f>
        <v>30</v>
      </c>
      <c r="P48" s="31"/>
      <c r="Q48" s="25"/>
    </row>
    <row r="49" spans="1:17" ht="14.5" x14ac:dyDescent="0.25">
      <c r="B49" s="10" t="s">
        <v>68</v>
      </c>
      <c r="K49" s="10"/>
      <c r="M49" s="35">
        <v>60</v>
      </c>
      <c r="N49" s="35">
        <v>60</v>
      </c>
      <c r="O49" s="35">
        <v>60</v>
      </c>
      <c r="P49" s="31"/>
      <c r="Q49" s="33"/>
    </row>
    <row r="50" spans="1:17" ht="14.5" x14ac:dyDescent="0.25">
      <c r="B50" s="10" t="s">
        <v>69</v>
      </c>
      <c r="K50" s="10"/>
      <c r="M50" s="35">
        <f>(500*0.35)/35</f>
        <v>5</v>
      </c>
      <c r="N50" s="35">
        <f>(500*0.35)/35</f>
        <v>5</v>
      </c>
      <c r="O50" s="35">
        <f>(500*0.35)/35</f>
        <v>5</v>
      </c>
      <c r="P50" s="31"/>
      <c r="Q50" s="33"/>
    </row>
    <row r="51" spans="1:17" ht="14.5" x14ac:dyDescent="0.25">
      <c r="B51" s="10" t="s">
        <v>70</v>
      </c>
      <c r="H51" s="70">
        <v>65</v>
      </c>
      <c r="I51" s="70"/>
      <c r="K51" s="29">
        <v>5</v>
      </c>
      <c r="L51" s="9" t="s">
        <v>30</v>
      </c>
      <c r="M51" s="34">
        <f>H51*(K51/100)</f>
        <v>3.25</v>
      </c>
      <c r="N51" s="34">
        <f>H51*(K51/100)</f>
        <v>3.25</v>
      </c>
      <c r="O51" s="34">
        <f>H51*(K51/100)</f>
        <v>3.25</v>
      </c>
      <c r="P51" s="31"/>
      <c r="Q51" s="33"/>
    </row>
    <row r="52" spans="1:17" ht="14.5" x14ac:dyDescent="0.25">
      <c r="B52" s="7" t="s">
        <v>113</v>
      </c>
      <c r="H52" s="70"/>
      <c r="I52" s="70"/>
      <c r="K52" s="71"/>
      <c r="M52" s="136">
        <f>'Buildings and Equipment(2)'!$M$12</f>
        <v>23.465720000000001</v>
      </c>
      <c r="N52" s="136">
        <f>'Buildings and Equipment(2)'!$M$12</f>
        <v>23.465720000000001</v>
      </c>
      <c r="O52" s="136">
        <f>'Buildings and Equipment(2)'!$M$12</f>
        <v>23.465720000000001</v>
      </c>
      <c r="P52" s="31"/>
      <c r="Q52" s="33"/>
    </row>
    <row r="53" spans="1:17" ht="14.5" x14ac:dyDescent="0.25">
      <c r="B53" s="10" t="s">
        <v>71</v>
      </c>
      <c r="H53" s="70"/>
      <c r="I53" s="70"/>
      <c r="K53" s="71"/>
      <c r="M53" s="135">
        <f>'Buildings and Equipment(2)'!$M$31</f>
        <v>35.843899999999991</v>
      </c>
      <c r="N53" s="135">
        <f>'Buildings and Equipment(2)'!$M$31</f>
        <v>35.843899999999991</v>
      </c>
      <c r="O53" s="135">
        <f>'Buildings and Equipment(2)'!$M$31</f>
        <v>35.843899999999991</v>
      </c>
      <c r="P53" s="31"/>
      <c r="Q53" s="33"/>
    </row>
    <row r="54" spans="1:17" x14ac:dyDescent="0.25">
      <c r="B54" s="10" t="s">
        <v>36</v>
      </c>
      <c r="H54" s="9" t="s">
        <v>37</v>
      </c>
      <c r="M54" s="35">
        <f>0.05*M21</f>
        <v>15.656517857142859</v>
      </c>
      <c r="N54" s="35">
        <f>0.05*N21</f>
        <v>18.550892857142859</v>
      </c>
      <c r="O54" s="35">
        <f>0.05*O21</f>
        <v>21.445267857142859</v>
      </c>
      <c r="P54" s="31"/>
      <c r="Q54" s="14"/>
    </row>
    <row r="55" spans="1:17" x14ac:dyDescent="0.25">
      <c r="M55" s="72"/>
      <c r="N55" s="72"/>
      <c r="O55" s="72"/>
      <c r="P55" s="73"/>
      <c r="Q55" s="74"/>
    </row>
    <row r="56" spans="1:17" ht="13" x14ac:dyDescent="0.3">
      <c r="A56" s="28" t="s">
        <v>38</v>
      </c>
      <c r="M56" s="69">
        <f>SUM(M48:M55)</f>
        <v>173.21613785714285</v>
      </c>
      <c r="N56" s="69">
        <f>SUM(N48:N55)</f>
        <v>176.11051285714285</v>
      </c>
      <c r="O56" s="69">
        <f>SUM(O48:O55)</f>
        <v>179.00488785714285</v>
      </c>
      <c r="P56" s="31"/>
      <c r="Q56" s="25"/>
    </row>
    <row r="57" spans="1:17" x14ac:dyDescent="0.25">
      <c r="M57" s="69"/>
      <c r="N57" s="69"/>
      <c r="O57" s="69"/>
    </row>
    <row r="58" spans="1:17" ht="13" x14ac:dyDescent="0.3">
      <c r="A58" s="28" t="s">
        <v>39</v>
      </c>
      <c r="M58" s="69">
        <f>M45+M56</f>
        <v>341.34501806547621</v>
      </c>
      <c r="N58" s="69">
        <f>N56+N45</f>
        <v>356.10180244047621</v>
      </c>
      <c r="O58" s="69">
        <f>O56+O45</f>
        <v>370.39733681547619</v>
      </c>
      <c r="P58" s="31"/>
      <c r="Q58" s="25"/>
    </row>
    <row r="59" spans="1:17" s="2" customFormat="1" ht="6.75" customHeight="1" x14ac:dyDescent="0.25">
      <c r="A59" s="25"/>
      <c r="B59" s="25"/>
      <c r="C59" s="25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5"/>
    </row>
    <row r="60" spans="1:17" ht="4.5" customHeight="1" x14ac:dyDescent="0.25"/>
    <row r="61" spans="1:17" ht="13" x14ac:dyDescent="0.3">
      <c r="D61" s="8" t="s">
        <v>40</v>
      </c>
      <c r="J61" s="75" t="s">
        <v>41</v>
      </c>
      <c r="K61" s="76">
        <v>100</v>
      </c>
      <c r="M61" s="75">
        <f>+(($F$13*1)+$M$15+$M$16+$M$18+$M$19)-$M$45</f>
        <v>12.188976934523794</v>
      </c>
      <c r="N61" s="75">
        <f>+(($G$13*1)+$N$15+$N$16+$N$18+$N$19)-$N$45</f>
        <v>31.651567559523755</v>
      </c>
      <c r="O61" s="75">
        <f>+(($H$13*1)+$O$15+$O$16+$O$18+$O$19)-$O$45</f>
        <v>51.575408184523781</v>
      </c>
      <c r="P61" s="77"/>
      <c r="Q61" s="25"/>
    </row>
    <row r="62" spans="1:17" ht="13" x14ac:dyDescent="0.3">
      <c r="D62" s="8"/>
      <c r="K62" s="76">
        <v>150</v>
      </c>
      <c r="M62" s="75">
        <f>+(($F$13*1.5)+$M$15+$M$16+$M$18+$M$19)-$M$45</f>
        <v>90.313976934523851</v>
      </c>
      <c r="N62" s="75">
        <f>+(($G$13*1.5)+$N$15+$N$16+$N$18+$N$19)-$N$45</f>
        <v>125.40156755952381</v>
      </c>
      <c r="O62" s="75">
        <f>+(($H$13*1.5)+$O$15+$O$16+$O$18+$O$19)-$O$45</f>
        <v>160.95040818452381</v>
      </c>
      <c r="P62" s="77"/>
      <c r="Q62" s="33"/>
    </row>
    <row r="63" spans="1:17" s="1" customFormat="1" ht="13" x14ac:dyDescent="0.3">
      <c r="A63" s="18"/>
      <c r="B63" s="18"/>
      <c r="C63" s="18"/>
      <c r="D63" s="20"/>
      <c r="E63" s="23"/>
      <c r="F63" s="23"/>
      <c r="G63" s="23"/>
      <c r="H63" s="23"/>
      <c r="I63" s="23"/>
      <c r="J63" s="78"/>
      <c r="K63" s="79">
        <v>200</v>
      </c>
      <c r="L63" s="23"/>
      <c r="M63" s="75">
        <f>+(($F$13*2)+$M$15+$M$16+$M$18+$M$19)-$M$45</f>
        <v>168.43897693452385</v>
      </c>
      <c r="N63" s="75">
        <f>+(($G$13*2)+$N$15+$N$16+$N$18+$N$19)-$N$45</f>
        <v>219.15156755952381</v>
      </c>
      <c r="O63" s="75">
        <f>+(($H$13*2)+$O$15+$O$16+$O$18+$O$19)-$O$45</f>
        <v>270.32540818452378</v>
      </c>
      <c r="P63" s="80"/>
      <c r="Q63" s="14"/>
    </row>
    <row r="64" spans="1:17" s="1" customFormat="1" ht="13" x14ac:dyDescent="0.3">
      <c r="A64" s="18"/>
      <c r="B64" s="18"/>
      <c r="C64" s="18"/>
      <c r="D64" s="81"/>
      <c r="E64" s="82"/>
      <c r="F64" s="82"/>
      <c r="G64" s="82"/>
      <c r="H64" s="82"/>
      <c r="I64" s="82"/>
      <c r="J64" s="83"/>
      <c r="K64" s="84"/>
      <c r="L64" s="83"/>
      <c r="M64" s="85"/>
      <c r="N64" s="85"/>
      <c r="O64" s="85"/>
      <c r="P64" s="80"/>
      <c r="Q64" s="18"/>
    </row>
    <row r="65" spans="1:17" ht="13" x14ac:dyDescent="0.3">
      <c r="D65" s="8" t="s">
        <v>78</v>
      </c>
      <c r="J65" s="9" t="s">
        <v>41</v>
      </c>
      <c r="K65" s="76">
        <v>100</v>
      </c>
      <c r="M65" s="75">
        <f>(1*$F$13)+$M$16+$M$19+$M$15+$M$18-(($M$58-$M$54)+(((1*$F$13)+$M$16+$M$19+$M$15+$M$18)*0.05))</f>
        <v>-154.38653592261909</v>
      </c>
      <c r="N65" s="75">
        <f>(1*$G$13)+$N$16+$N$19+$N$15+$N$18-(($N$58-$N$54)+(((1*$G$13)+$N$16+$N$19+$N$15+$N$18)*0.05))</f>
        <v>-136.4901952976191</v>
      </c>
      <c r="O65" s="75">
        <f>(1*$H$13)+$O$16+$O$19+$O$15+$O$18-(($O$58-$O$54)+(((1*$H$13)+$O$16+$O$19+$O$15+$O$18)*0.05))</f>
        <v>-118.13260467261907</v>
      </c>
      <c r="P65" s="77"/>
      <c r="Q65" s="25"/>
    </row>
    <row r="66" spans="1:17" x14ac:dyDescent="0.25">
      <c r="K66" s="76">
        <v>150</v>
      </c>
      <c r="M66" s="75">
        <f>(1.5*$F$13)+$M$16+$M$19+$M$15+$M$18-(($M$58-$M$54)+(((1.5*$F$13)+$M$16+$M$19+$M$15+$M$18)*0.05))</f>
        <v>-80.167785922619089</v>
      </c>
      <c r="N66" s="75">
        <f>(1.5*$G$13)+$N$16+$N$19+$N$15+$N$18-(($N$58-$N$54)+(((1.5*$G$13)+$N$16+$N$19+$N$15+$N$18)*0.05))</f>
        <v>-47.427695297619039</v>
      </c>
      <c r="O66" s="75">
        <f>(1.5*$H$13)+$O$16+$O$19+$O$15+$O$18-(($O$58-$O$54)+(((1.5*$H$13)+$O$16+$O$19+$O$15+$O$18)*0.05))</f>
        <v>-14.226354672619038</v>
      </c>
      <c r="P66" s="77"/>
      <c r="Q66" s="33"/>
    </row>
    <row r="67" spans="1:17" x14ac:dyDescent="0.25">
      <c r="K67" s="76">
        <v>200</v>
      </c>
      <c r="M67" s="75">
        <f>(2*$F$13)+$M$16+$M$19+$M$15+$M$18-(($M$58-$M$54)+(((2*$F$13)+$M$16+$M$19+$M$15+$M$18)*0.05))</f>
        <v>-5.9490359226190321</v>
      </c>
      <c r="N67" s="75">
        <f>(2*$G$13)+$N$16+$N$19+$N$15+$N$18-(($N$58-$N$54)+(((2*$G$13)+$N$16+$N$19+$N$15+$N$18)*0.05))</f>
        <v>41.634804702380961</v>
      </c>
      <c r="O67" s="75">
        <f>(2*$H$13)+$O$16+$O$19+$O$15+$O$18-(($O$58-$O$54)+(((2*$H$13)+$O$16+$O$19+$O$15+$O$18)*0.05))</f>
        <v>89.679895327380962</v>
      </c>
      <c r="P67" s="77"/>
      <c r="Q67" s="33"/>
    </row>
    <row r="68" spans="1:17" s="2" customFormat="1" ht="5.25" customHeight="1" x14ac:dyDescent="0.25">
      <c r="A68" s="25"/>
      <c r="B68" s="25"/>
      <c r="C68" s="25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5"/>
    </row>
    <row r="69" spans="1:17" ht="14.5" x14ac:dyDescent="0.25">
      <c r="A69" s="86" t="s">
        <v>75</v>
      </c>
    </row>
    <row r="70" spans="1:17" ht="14.5" x14ac:dyDescent="0.25">
      <c r="A70" s="86" t="s">
        <v>144</v>
      </c>
    </row>
    <row r="71" spans="1:17" ht="14.5" x14ac:dyDescent="0.25">
      <c r="A71" s="86"/>
      <c r="B71" s="10" t="s">
        <v>145</v>
      </c>
    </row>
    <row r="72" spans="1:17" ht="14.5" x14ac:dyDescent="0.25">
      <c r="A72" s="86" t="s">
        <v>72</v>
      </c>
    </row>
    <row r="73" spans="1:17" ht="14.5" x14ac:dyDescent="0.25">
      <c r="A73" s="86"/>
      <c r="B73" s="10" t="s">
        <v>50</v>
      </c>
    </row>
    <row r="74" spans="1:17" ht="14.5" x14ac:dyDescent="0.25">
      <c r="A74" s="86" t="s">
        <v>146</v>
      </c>
    </row>
    <row r="75" spans="1:17" ht="14.5" x14ac:dyDescent="0.25">
      <c r="A75" s="86"/>
      <c r="B75" s="10" t="s">
        <v>136</v>
      </c>
    </row>
    <row r="76" spans="1:17" ht="14.5" x14ac:dyDescent="0.25">
      <c r="A76" s="86" t="s">
        <v>137</v>
      </c>
    </row>
    <row r="77" spans="1:17" x14ac:dyDescent="0.25">
      <c r="B77" s="10" t="s">
        <v>138</v>
      </c>
    </row>
    <row r="78" spans="1:17" ht="14.5" x14ac:dyDescent="0.25">
      <c r="A78" s="86" t="s">
        <v>76</v>
      </c>
    </row>
    <row r="79" spans="1:17" ht="14.5" x14ac:dyDescent="0.25">
      <c r="A79" s="86" t="s">
        <v>73</v>
      </c>
    </row>
    <row r="80" spans="1:17" ht="14.5" x14ac:dyDescent="0.25">
      <c r="A80" s="86" t="s">
        <v>132</v>
      </c>
    </row>
    <row r="81" spans="1:14" x14ac:dyDescent="0.25">
      <c r="B81" s="10" t="s">
        <v>133</v>
      </c>
    </row>
    <row r="82" spans="1:14" ht="14.5" x14ac:dyDescent="0.25">
      <c r="A82" s="86" t="s">
        <v>134</v>
      </c>
    </row>
    <row r="83" spans="1:14" x14ac:dyDescent="0.25">
      <c r="B83" s="10" t="s">
        <v>135</v>
      </c>
    </row>
    <row r="84" spans="1:14" ht="14.5" x14ac:dyDescent="0.25">
      <c r="A84" s="86" t="s">
        <v>74</v>
      </c>
    </row>
    <row r="85" spans="1:14" ht="14.5" x14ac:dyDescent="0.25">
      <c r="A85" s="5" t="s">
        <v>58</v>
      </c>
      <c r="B85" s="10" t="s">
        <v>53</v>
      </c>
    </row>
    <row r="86" spans="1:14" x14ac:dyDescent="0.25">
      <c r="B86" s="10" t="s">
        <v>54</v>
      </c>
      <c r="C86" s="10" t="s">
        <v>84</v>
      </c>
      <c r="K86" s="87"/>
    </row>
    <row r="87" spans="1:14" ht="14.5" x14ac:dyDescent="0.25">
      <c r="A87" s="5" t="s">
        <v>59</v>
      </c>
      <c r="B87" s="10" t="s">
        <v>56</v>
      </c>
    </row>
    <row r="88" spans="1:14" x14ac:dyDescent="0.25">
      <c r="C88" s="10" t="s">
        <v>85</v>
      </c>
    </row>
    <row r="91" spans="1:14" x14ac:dyDescent="0.25">
      <c r="C91" s="7" t="s">
        <v>140</v>
      </c>
      <c r="D91" s="137" t="s">
        <v>141</v>
      </c>
      <c r="E91" s="138"/>
      <c r="F91" s="138"/>
      <c r="G91" s="140"/>
      <c r="H91" s="140"/>
      <c r="I91" s="140"/>
      <c r="J91" s="140"/>
      <c r="K91" s="140"/>
      <c r="L91" s="140"/>
      <c r="M91" s="140"/>
      <c r="N91" s="140"/>
    </row>
    <row r="92" spans="1:14" x14ac:dyDescent="0.25">
      <c r="D92" s="137" t="s">
        <v>142</v>
      </c>
      <c r="E92" s="138"/>
      <c r="F92" s="138"/>
      <c r="G92" s="140"/>
      <c r="H92" s="140"/>
      <c r="I92" s="140"/>
      <c r="J92" s="140"/>
      <c r="K92" s="140"/>
      <c r="L92" s="140"/>
      <c r="M92" s="140"/>
      <c r="N92" s="140"/>
    </row>
    <row r="93" spans="1:14" x14ac:dyDescent="0.25">
      <c r="D93" s="137" t="s">
        <v>143</v>
      </c>
      <c r="E93" s="138"/>
      <c r="F93" s="138"/>
      <c r="G93" s="138"/>
      <c r="H93" s="138"/>
      <c r="I93" s="139"/>
      <c r="J93" s="138"/>
      <c r="K93" s="138"/>
      <c r="L93" s="138"/>
      <c r="M93" s="138"/>
      <c r="N93" s="138"/>
    </row>
    <row r="94" spans="1:14" x14ac:dyDescent="0.25">
      <c r="I94" s="87"/>
    </row>
    <row r="95" spans="1:14" x14ac:dyDescent="0.25">
      <c r="I95" s="87"/>
    </row>
    <row r="96" spans="1:14" x14ac:dyDescent="0.25">
      <c r="I96" s="87"/>
    </row>
    <row r="97" spans="9:9" x14ac:dyDescent="0.25">
      <c r="I97" s="87"/>
    </row>
    <row r="98" spans="9:9" x14ac:dyDescent="0.25">
      <c r="I98" s="87"/>
    </row>
    <row r="99" spans="9:9" x14ac:dyDescent="0.25">
      <c r="I99" s="87"/>
    </row>
  </sheetData>
  <mergeCells count="9">
    <mergeCell ref="G18:G19"/>
    <mergeCell ref="L7:O7"/>
    <mergeCell ref="L8:O8"/>
    <mergeCell ref="E7:H7"/>
    <mergeCell ref="F1:L1"/>
    <mergeCell ref="A2:P2"/>
    <mergeCell ref="F10:H10"/>
    <mergeCell ref="M10:O10"/>
    <mergeCell ref="F5:L5"/>
  </mergeCells>
  <phoneticPr fontId="0" type="noConversion"/>
  <printOptions horizontalCentered="1"/>
  <pageMargins left="0.5" right="0.5" top="0.5" bottom="0.5" header="0.5" footer="0.5"/>
  <pageSetup scale="72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workbookViewId="0">
      <selection activeCell="M31" sqref="M31"/>
    </sheetView>
  </sheetViews>
  <sheetFormatPr defaultRowHeight="12.5" x14ac:dyDescent="0.25"/>
  <cols>
    <col min="1" max="1" width="2.54296875" customWidth="1"/>
    <col min="2" max="2" width="30.26953125" customWidth="1"/>
    <col min="3" max="3" width="10.1796875" bestFit="1" customWidth="1"/>
    <col min="6" max="6" width="11.26953125" customWidth="1"/>
  </cols>
  <sheetData>
    <row r="1" spans="1:13" ht="13" x14ac:dyDescent="0.3">
      <c r="B1" s="151" t="s">
        <v>53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3" ht="27" x14ac:dyDescent="0.25">
      <c r="A2" s="2"/>
      <c r="B2" s="2"/>
      <c r="C2" s="92" t="s">
        <v>86</v>
      </c>
      <c r="D2" s="93" t="s">
        <v>87</v>
      </c>
      <c r="E2" s="94" t="s">
        <v>88</v>
      </c>
      <c r="F2" s="94" t="s">
        <v>89</v>
      </c>
      <c r="G2" s="94" t="s">
        <v>90</v>
      </c>
      <c r="H2" s="94" t="s">
        <v>91</v>
      </c>
      <c r="I2" s="94" t="s">
        <v>110</v>
      </c>
      <c r="J2" s="95" t="s">
        <v>111</v>
      </c>
      <c r="K2" s="94" t="s">
        <v>55</v>
      </c>
      <c r="L2" s="94" t="s">
        <v>81</v>
      </c>
      <c r="M2" s="95" t="s">
        <v>92</v>
      </c>
    </row>
    <row r="3" spans="1:13" ht="13" x14ac:dyDescent="0.3">
      <c r="A3" s="3" t="s">
        <v>128</v>
      </c>
      <c r="B3" s="1"/>
      <c r="C3" s="121">
        <v>30100</v>
      </c>
      <c r="D3" s="125">
        <f>C3*0.35</f>
        <v>10535</v>
      </c>
      <c r="E3" s="126">
        <f>(C3+D3+F3)/2</f>
        <v>20708.8</v>
      </c>
      <c r="F3" s="126">
        <f>(C3-D3)/25</f>
        <v>782.6</v>
      </c>
      <c r="G3" s="127">
        <f>E3*0.08</f>
        <v>1656.704</v>
      </c>
      <c r="H3" s="128">
        <f>E3*0.005</f>
        <v>103.544</v>
      </c>
      <c r="I3" s="128">
        <f>C3*0.02</f>
        <v>602</v>
      </c>
      <c r="J3" s="128">
        <f>E3*0.005</f>
        <v>103.544</v>
      </c>
      <c r="K3" s="98">
        <f>SUM(F3:J3)</f>
        <v>3248.3919999999998</v>
      </c>
      <c r="L3" s="99">
        <v>200</v>
      </c>
      <c r="M3" s="100">
        <f>K3/L3</f>
        <v>16.241959999999999</v>
      </c>
    </row>
    <row r="4" spans="1:13" ht="13" x14ac:dyDescent="0.3">
      <c r="A4" s="117" t="s">
        <v>102</v>
      </c>
      <c r="C4" s="96">
        <v>4000</v>
      </c>
      <c r="D4" s="125">
        <f>C4*0.35</f>
        <v>1400</v>
      </c>
      <c r="E4" s="126">
        <f>(C4+D4+F4)/2</f>
        <v>2752</v>
      </c>
      <c r="F4" s="126">
        <f>(C4-D4)/25</f>
        <v>104</v>
      </c>
      <c r="G4" s="127">
        <f>E4*0.08</f>
        <v>220.16</v>
      </c>
      <c r="H4" s="128">
        <f>E4*0.005</f>
        <v>13.76</v>
      </c>
      <c r="I4" s="128">
        <f>C4*0.02</f>
        <v>80</v>
      </c>
      <c r="J4" s="128">
        <f>E4*0.005</f>
        <v>13.76</v>
      </c>
      <c r="K4" s="98">
        <f>SUM(F4:J4)</f>
        <v>431.67999999999995</v>
      </c>
      <c r="L4" s="99">
        <v>200</v>
      </c>
      <c r="M4" s="101">
        <f>K4/L4</f>
        <v>2.1583999999999999</v>
      </c>
    </row>
    <row r="5" spans="1:13" ht="13" x14ac:dyDescent="0.3">
      <c r="A5" s="117" t="s">
        <v>101</v>
      </c>
      <c r="C5" s="97"/>
      <c r="D5" s="125"/>
      <c r="E5" s="126"/>
      <c r="F5" s="126"/>
      <c r="G5" s="127"/>
      <c r="H5" s="129"/>
      <c r="I5" s="129"/>
      <c r="J5" s="129"/>
      <c r="K5" s="118"/>
      <c r="L5" s="119"/>
      <c r="M5" s="120"/>
    </row>
    <row r="6" spans="1:13" ht="13" x14ac:dyDescent="0.3">
      <c r="A6" s="117"/>
      <c r="B6" s="9" t="s">
        <v>79</v>
      </c>
      <c r="C6" s="96">
        <v>3000</v>
      </c>
      <c r="D6" s="125">
        <f>C6*0.35</f>
        <v>1050</v>
      </c>
      <c r="E6" s="126">
        <f>(C6+D6+F6)/2</f>
        <v>2064</v>
      </c>
      <c r="F6" s="126">
        <f>(C6-D6)/25</f>
        <v>78</v>
      </c>
      <c r="G6" s="127">
        <f>E6*0.08</f>
        <v>165.12</v>
      </c>
      <c r="H6" s="128">
        <f>E6*0.005</f>
        <v>10.32</v>
      </c>
      <c r="I6" s="128">
        <f>C6*0.02</f>
        <v>60</v>
      </c>
      <c r="J6" s="128">
        <f t="shared" ref="J6:J11" si="0">E6*0.005</f>
        <v>10.32</v>
      </c>
      <c r="K6" s="98">
        <f>SUM(F6:J6)</f>
        <v>323.76</v>
      </c>
      <c r="L6" s="99">
        <v>200</v>
      </c>
      <c r="M6" s="101">
        <f>K6/L6</f>
        <v>1.6188</v>
      </c>
    </row>
    <row r="7" spans="1:13" ht="13" x14ac:dyDescent="0.3">
      <c r="A7" s="117"/>
      <c r="B7" s="9" t="s">
        <v>20</v>
      </c>
      <c r="C7" s="96">
        <v>2000</v>
      </c>
      <c r="D7" s="125">
        <f>C7*0.35</f>
        <v>700</v>
      </c>
      <c r="E7" s="126">
        <f>(C7+D7+F7)/2</f>
        <v>1376</v>
      </c>
      <c r="F7" s="126">
        <f>(C7-D7)/25</f>
        <v>52</v>
      </c>
      <c r="G7" s="127">
        <f>E7*0.08</f>
        <v>110.08</v>
      </c>
      <c r="H7" s="128">
        <f>E7*0.005</f>
        <v>6.88</v>
      </c>
      <c r="I7" s="128">
        <f>C7*0.02</f>
        <v>40</v>
      </c>
      <c r="J7" s="128">
        <f t="shared" si="0"/>
        <v>6.88</v>
      </c>
      <c r="K7" s="98">
        <f>SUM(F7:J7)</f>
        <v>215.83999999999997</v>
      </c>
      <c r="L7" s="99">
        <v>200</v>
      </c>
      <c r="M7" s="101">
        <f>K7/L7</f>
        <v>1.0791999999999999</v>
      </c>
    </row>
    <row r="8" spans="1:13" ht="13" x14ac:dyDescent="0.3">
      <c r="A8" s="117" t="s">
        <v>80</v>
      </c>
      <c r="C8" s="97"/>
      <c r="D8" s="125"/>
      <c r="E8" s="126"/>
      <c r="F8" s="126"/>
      <c r="G8" s="127"/>
      <c r="H8" s="129"/>
      <c r="I8" s="129"/>
      <c r="J8" s="129"/>
      <c r="K8" s="118"/>
      <c r="L8" s="119"/>
      <c r="M8" s="120"/>
    </row>
    <row r="9" spans="1:13" ht="13" x14ac:dyDescent="0.3">
      <c r="A9" s="117"/>
      <c r="B9" s="9" t="s">
        <v>103</v>
      </c>
      <c r="C9" s="96">
        <v>4000</v>
      </c>
      <c r="D9" s="125">
        <f>C9*0.35</f>
        <v>1400</v>
      </c>
      <c r="E9" s="126">
        <f>(C9+D9+F9)/2</f>
        <v>2752</v>
      </c>
      <c r="F9" s="126">
        <f>(C9-D9)/25</f>
        <v>104</v>
      </c>
      <c r="G9" s="127">
        <f>E9*0.08</f>
        <v>220.16</v>
      </c>
      <c r="H9" s="128">
        <f>E9*0.005</f>
        <v>13.76</v>
      </c>
      <c r="I9" s="128">
        <f>C9*0.02</f>
        <v>80</v>
      </c>
      <c r="J9" s="128">
        <f t="shared" si="0"/>
        <v>13.76</v>
      </c>
      <c r="K9" s="98">
        <f>SUM(F9:J9)</f>
        <v>431.67999999999995</v>
      </c>
      <c r="L9" s="99">
        <v>200</v>
      </c>
      <c r="M9" s="101">
        <f>K9/L9</f>
        <v>2.1583999999999999</v>
      </c>
    </row>
    <row r="10" spans="1:13" ht="13" x14ac:dyDescent="0.3">
      <c r="A10" s="117"/>
      <c r="B10" s="9" t="s">
        <v>93</v>
      </c>
      <c r="C10" s="96">
        <v>400</v>
      </c>
      <c r="D10" s="125">
        <f>C10*0.35</f>
        <v>140</v>
      </c>
      <c r="E10" s="126">
        <f>(C10+D10+F10)/2</f>
        <v>275.2</v>
      </c>
      <c r="F10" s="126">
        <f>(C10-D10)/25</f>
        <v>10.4</v>
      </c>
      <c r="G10" s="127">
        <f>E10*0.08</f>
        <v>22.015999999999998</v>
      </c>
      <c r="H10" s="128">
        <f>E10*0.005</f>
        <v>1.3759999999999999</v>
      </c>
      <c r="I10" s="128">
        <f>C10*0.02</f>
        <v>8</v>
      </c>
      <c r="J10" s="128"/>
      <c r="K10" s="98">
        <f>SUM(F10:J10)</f>
        <v>41.791999999999994</v>
      </c>
      <c r="L10" s="99">
        <v>200</v>
      </c>
      <c r="M10" s="101">
        <f>K10/L10</f>
        <v>0.20895999999999998</v>
      </c>
    </row>
    <row r="11" spans="1:13" ht="13" x14ac:dyDescent="0.3">
      <c r="A11" s="117" t="s">
        <v>120</v>
      </c>
      <c r="B11" s="9"/>
      <c r="C11" s="96">
        <v>8000</v>
      </c>
      <c r="D11" s="125"/>
      <c r="E11" s="126">
        <v>7844</v>
      </c>
      <c r="F11" s="126"/>
      <c r="G11" s="127">
        <f>E11*0.08</f>
        <v>627.52</v>
      </c>
      <c r="H11" s="128"/>
      <c r="I11" s="128"/>
      <c r="J11" s="128">
        <f t="shared" si="0"/>
        <v>39.22</v>
      </c>
      <c r="K11" s="98">
        <f>SUM(F11:J11)</f>
        <v>666.74</v>
      </c>
      <c r="L11" s="99">
        <v>200</v>
      </c>
      <c r="M11" s="101">
        <f>K11/L11</f>
        <v>3.3336999999999999</v>
      </c>
    </row>
    <row r="12" spans="1:13" ht="13" x14ac:dyDescent="0.3">
      <c r="A12" s="103"/>
      <c r="B12" s="102" t="s">
        <v>104</v>
      </c>
      <c r="C12" s="103"/>
      <c r="D12" s="103"/>
      <c r="E12" s="103"/>
      <c r="F12" s="103"/>
      <c r="G12" s="103"/>
      <c r="H12" s="15"/>
      <c r="I12" s="15"/>
      <c r="J12" s="103"/>
      <c r="K12" s="104" t="s">
        <v>94</v>
      </c>
      <c r="L12" s="103"/>
      <c r="M12" s="134">
        <f>SUM(M3:M10)</f>
        <v>23.465720000000001</v>
      </c>
    </row>
    <row r="13" spans="1:13" ht="13" x14ac:dyDescent="0.3">
      <c r="B13" s="105" t="s">
        <v>95</v>
      </c>
      <c r="C13" s="1"/>
      <c r="D13" s="1"/>
      <c r="E13" s="1"/>
      <c r="F13" s="1"/>
      <c r="G13" s="1"/>
      <c r="H13" s="20"/>
      <c r="I13" s="20"/>
      <c r="J13" s="23"/>
      <c r="K13" s="23"/>
      <c r="L13" s="106"/>
      <c r="M13" s="118"/>
    </row>
    <row r="14" spans="1:13" ht="13" x14ac:dyDescent="0.3">
      <c r="B14" s="107" t="s">
        <v>96</v>
      </c>
      <c r="C14" s="1"/>
      <c r="D14" s="1"/>
      <c r="E14" s="1"/>
      <c r="F14" s="1"/>
      <c r="G14" s="1"/>
      <c r="H14" s="20"/>
      <c r="I14" s="20"/>
      <c r="J14" s="1"/>
      <c r="K14" s="1"/>
    </row>
    <row r="15" spans="1:13" ht="13" x14ac:dyDescent="0.3">
      <c r="B15" s="107" t="s">
        <v>112</v>
      </c>
      <c r="C15" s="1"/>
      <c r="D15" s="1"/>
      <c r="E15" s="1"/>
      <c r="F15" s="1"/>
      <c r="G15" s="1"/>
      <c r="H15" s="20"/>
      <c r="I15" s="20"/>
      <c r="J15" s="1"/>
      <c r="K15" s="1"/>
    </row>
    <row r="16" spans="1:13" ht="13" x14ac:dyDescent="0.3">
      <c r="B16" s="107" t="s">
        <v>98</v>
      </c>
      <c r="C16" s="1"/>
      <c r="D16" s="1"/>
      <c r="E16" s="1"/>
      <c r="F16" s="1"/>
      <c r="G16" s="1"/>
      <c r="H16" s="20"/>
      <c r="I16" s="20"/>
      <c r="J16" s="1"/>
      <c r="K16" s="1"/>
    </row>
    <row r="17" spans="1:13" x14ac:dyDescent="0.25">
      <c r="B17" s="105" t="s">
        <v>115</v>
      </c>
      <c r="C17" s="108"/>
      <c r="D17" s="108"/>
    </row>
    <row r="18" spans="1:13" x14ac:dyDescent="0.25">
      <c r="B18" s="105" t="s">
        <v>109</v>
      </c>
      <c r="C18" s="108"/>
      <c r="D18" s="108"/>
    </row>
    <row r="19" spans="1:13" x14ac:dyDescent="0.25">
      <c r="B19" s="105" t="s">
        <v>119</v>
      </c>
      <c r="C19" s="108"/>
      <c r="D19" s="108"/>
    </row>
    <row r="20" spans="1:13" x14ac:dyDescent="0.25">
      <c r="B20" s="109" t="s">
        <v>121</v>
      </c>
      <c r="C20" s="109"/>
      <c r="D20" s="109"/>
    </row>
    <row r="21" spans="1:13" ht="13" x14ac:dyDescent="0.3">
      <c r="B21" s="151" t="s">
        <v>105</v>
      </c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</row>
    <row r="22" spans="1:13" ht="27" x14ac:dyDescent="0.25">
      <c r="B22" s="26"/>
      <c r="C22" s="92" t="s">
        <v>86</v>
      </c>
      <c r="D22" s="93" t="s">
        <v>87</v>
      </c>
      <c r="E22" s="94" t="s">
        <v>88</v>
      </c>
      <c r="F22" s="94" t="s">
        <v>89</v>
      </c>
      <c r="G22" s="94" t="s">
        <v>90</v>
      </c>
      <c r="H22" s="94" t="s">
        <v>91</v>
      </c>
      <c r="I22" s="94" t="s">
        <v>110</v>
      </c>
      <c r="J22" s="95" t="s">
        <v>99</v>
      </c>
      <c r="K22" s="94" t="s">
        <v>55</v>
      </c>
      <c r="L22" s="94" t="s">
        <v>81</v>
      </c>
      <c r="M22" s="95" t="s">
        <v>92</v>
      </c>
    </row>
    <row r="23" spans="1:13" ht="13" x14ac:dyDescent="0.3">
      <c r="A23" s="110" t="s">
        <v>129</v>
      </c>
      <c r="C23" s="111">
        <v>6600</v>
      </c>
      <c r="D23" s="130">
        <f t="shared" ref="D23:D30" si="1">C23*0.2</f>
        <v>1320</v>
      </c>
      <c r="E23" s="131">
        <f t="shared" ref="E23:E30" si="2">(C23+D23+F23)/2</f>
        <v>4224</v>
      </c>
      <c r="F23" s="131">
        <f t="shared" ref="F23:F30" si="3">(C23-D23)/10</f>
        <v>528</v>
      </c>
      <c r="G23" s="131">
        <f t="shared" ref="G23:G30" si="4">E23*0.08</f>
        <v>337.92</v>
      </c>
      <c r="H23" s="131">
        <f t="shared" ref="H23:H30" si="5">E23*0.005</f>
        <v>21.12</v>
      </c>
      <c r="I23" s="131">
        <f t="shared" ref="I23:I28" si="6">C23*0.03</f>
        <v>198</v>
      </c>
      <c r="J23" s="131">
        <f>E23*0.01</f>
        <v>42.24</v>
      </c>
      <c r="K23" s="112">
        <f t="shared" ref="K23:K30" si="7">SUM(F23:J23)</f>
        <v>1127.28</v>
      </c>
      <c r="L23" s="113">
        <v>200</v>
      </c>
      <c r="M23" s="114">
        <f t="shared" ref="M23:M30" si="8">K23/L23</f>
        <v>5.6364000000000001</v>
      </c>
    </row>
    <row r="24" spans="1:13" ht="13" x14ac:dyDescent="0.3">
      <c r="A24" s="122" t="s">
        <v>130</v>
      </c>
      <c r="C24" s="96">
        <v>4000</v>
      </c>
      <c r="D24" s="132">
        <f t="shared" si="1"/>
        <v>800</v>
      </c>
      <c r="E24" s="133">
        <f t="shared" si="2"/>
        <v>2560</v>
      </c>
      <c r="F24" s="133">
        <f t="shared" si="3"/>
        <v>320</v>
      </c>
      <c r="G24" s="133">
        <f t="shared" si="4"/>
        <v>204.8</v>
      </c>
      <c r="H24" s="133">
        <f t="shared" si="5"/>
        <v>12.8</v>
      </c>
      <c r="I24" s="133">
        <f t="shared" si="6"/>
        <v>120</v>
      </c>
      <c r="J24" s="133">
        <f>E24*0.01</f>
        <v>25.6</v>
      </c>
      <c r="K24" s="112">
        <f t="shared" si="7"/>
        <v>683.19999999999993</v>
      </c>
      <c r="L24" s="113">
        <v>200</v>
      </c>
      <c r="M24" s="114">
        <f t="shared" si="8"/>
        <v>3.4159999999999995</v>
      </c>
    </row>
    <row r="25" spans="1:13" ht="13" x14ac:dyDescent="0.3">
      <c r="A25" s="122" t="s">
        <v>131</v>
      </c>
      <c r="C25" s="96">
        <v>20000</v>
      </c>
      <c r="D25" s="132">
        <f>C25*0.2</f>
        <v>4000</v>
      </c>
      <c r="E25" s="133">
        <f>(C25+D25+F25)/2</f>
        <v>12800</v>
      </c>
      <c r="F25" s="133">
        <f>(C25-D25)/10</f>
        <v>1600</v>
      </c>
      <c r="G25" s="133">
        <f>E25*0.08</f>
        <v>1024</v>
      </c>
      <c r="H25" s="133">
        <f>E25*0.005</f>
        <v>64</v>
      </c>
      <c r="I25" s="133">
        <f t="shared" si="6"/>
        <v>600</v>
      </c>
      <c r="J25" s="133">
        <f>E25*0.01</f>
        <v>128</v>
      </c>
      <c r="K25" s="112">
        <f>SUM(F25:J25)</f>
        <v>3416</v>
      </c>
      <c r="L25" s="113">
        <v>200</v>
      </c>
      <c r="M25" s="114">
        <f>K25/L25</f>
        <v>17.079999999999998</v>
      </c>
    </row>
    <row r="26" spans="1:13" ht="14" x14ac:dyDescent="0.3">
      <c r="A26" s="122" t="s">
        <v>117</v>
      </c>
      <c r="B26" s="1"/>
      <c r="C26" s="96">
        <v>250</v>
      </c>
      <c r="D26" s="132">
        <f t="shared" si="1"/>
        <v>50</v>
      </c>
      <c r="E26" s="133">
        <f t="shared" si="2"/>
        <v>160</v>
      </c>
      <c r="F26" s="133">
        <f t="shared" si="3"/>
        <v>20</v>
      </c>
      <c r="G26" s="133">
        <f t="shared" si="4"/>
        <v>12.8</v>
      </c>
      <c r="H26" s="133">
        <f t="shared" si="5"/>
        <v>0.8</v>
      </c>
      <c r="I26" s="133">
        <f t="shared" si="6"/>
        <v>7.5</v>
      </c>
      <c r="J26" s="133"/>
      <c r="K26" s="112">
        <f t="shared" si="7"/>
        <v>41.099999999999994</v>
      </c>
      <c r="L26" s="113">
        <v>200</v>
      </c>
      <c r="M26" s="114">
        <f t="shared" si="8"/>
        <v>0.20549999999999996</v>
      </c>
    </row>
    <row r="27" spans="1:13" ht="13" x14ac:dyDescent="0.3">
      <c r="A27" s="122" t="s">
        <v>106</v>
      </c>
      <c r="C27" s="96">
        <v>3000</v>
      </c>
      <c r="D27" s="132">
        <f t="shared" si="1"/>
        <v>600</v>
      </c>
      <c r="E27" s="133">
        <f t="shared" si="2"/>
        <v>1920</v>
      </c>
      <c r="F27" s="133">
        <f t="shared" si="3"/>
        <v>240</v>
      </c>
      <c r="G27" s="133">
        <f t="shared" si="4"/>
        <v>153.6</v>
      </c>
      <c r="H27" s="133">
        <f t="shared" si="5"/>
        <v>9.6</v>
      </c>
      <c r="I27" s="133">
        <f t="shared" si="6"/>
        <v>90</v>
      </c>
      <c r="J27" s="133"/>
      <c r="K27" s="112">
        <f t="shared" si="7"/>
        <v>493.20000000000005</v>
      </c>
      <c r="L27" s="113">
        <v>200</v>
      </c>
      <c r="M27" s="114">
        <f t="shared" si="8"/>
        <v>2.4660000000000002</v>
      </c>
    </row>
    <row r="28" spans="1:13" ht="13" x14ac:dyDescent="0.3">
      <c r="A28" s="122" t="s">
        <v>107</v>
      </c>
      <c r="C28" s="96">
        <v>4000</v>
      </c>
      <c r="D28" s="132">
        <f t="shared" si="1"/>
        <v>800</v>
      </c>
      <c r="E28" s="133">
        <f t="shared" si="2"/>
        <v>2560</v>
      </c>
      <c r="F28" s="133">
        <f t="shared" si="3"/>
        <v>320</v>
      </c>
      <c r="G28" s="133">
        <f t="shared" si="4"/>
        <v>204.8</v>
      </c>
      <c r="H28" s="133">
        <f t="shared" si="5"/>
        <v>12.8</v>
      </c>
      <c r="I28" s="133">
        <f t="shared" si="6"/>
        <v>120</v>
      </c>
      <c r="J28" s="133"/>
      <c r="K28" s="112">
        <f t="shared" si="7"/>
        <v>657.59999999999991</v>
      </c>
      <c r="L28" s="113">
        <v>200</v>
      </c>
      <c r="M28" s="114">
        <f t="shared" si="8"/>
        <v>3.2879999999999994</v>
      </c>
    </row>
    <row r="29" spans="1:13" ht="13" x14ac:dyDescent="0.3">
      <c r="A29" s="122" t="s">
        <v>108</v>
      </c>
      <c r="C29" s="96">
        <v>500</v>
      </c>
      <c r="D29" s="132">
        <f t="shared" si="1"/>
        <v>100</v>
      </c>
      <c r="E29" s="133">
        <f t="shared" si="2"/>
        <v>320</v>
      </c>
      <c r="F29" s="133">
        <f t="shared" si="3"/>
        <v>40</v>
      </c>
      <c r="G29" s="133">
        <f t="shared" si="4"/>
        <v>25.6</v>
      </c>
      <c r="H29" s="133">
        <f t="shared" si="5"/>
        <v>1.6</v>
      </c>
      <c r="I29" s="133"/>
      <c r="J29" s="133"/>
      <c r="K29" s="112">
        <f t="shared" si="7"/>
        <v>67.199999999999989</v>
      </c>
      <c r="L29" s="113">
        <v>200</v>
      </c>
      <c r="M29" s="114">
        <f t="shared" si="8"/>
        <v>0.33599999999999997</v>
      </c>
    </row>
    <row r="30" spans="1:13" ht="13" x14ac:dyDescent="0.3">
      <c r="A30" s="122" t="s">
        <v>82</v>
      </c>
      <c r="C30" s="96">
        <v>4000</v>
      </c>
      <c r="D30" s="132">
        <f t="shared" si="1"/>
        <v>800</v>
      </c>
      <c r="E30" s="133">
        <f t="shared" si="2"/>
        <v>2560</v>
      </c>
      <c r="F30" s="133">
        <f t="shared" si="3"/>
        <v>320</v>
      </c>
      <c r="G30" s="133">
        <f t="shared" si="4"/>
        <v>204.8</v>
      </c>
      <c r="H30" s="133">
        <f t="shared" si="5"/>
        <v>12.8</v>
      </c>
      <c r="I30" s="133">
        <f>C30*0.03</f>
        <v>120</v>
      </c>
      <c r="J30" s="133">
        <f>E30*0.01</f>
        <v>25.6</v>
      </c>
      <c r="K30" s="112">
        <f t="shared" si="7"/>
        <v>683.19999999999993</v>
      </c>
      <c r="L30" s="113">
        <v>200</v>
      </c>
      <c r="M30" s="114">
        <f t="shared" si="8"/>
        <v>3.4159999999999995</v>
      </c>
    </row>
    <row r="31" spans="1:13" ht="13" x14ac:dyDescent="0.3">
      <c r="A31" s="103"/>
      <c r="B31" s="102" t="s">
        <v>100</v>
      </c>
      <c r="C31" s="110"/>
      <c r="D31" s="110"/>
      <c r="E31" s="103"/>
      <c r="F31" s="103"/>
      <c r="G31" s="15"/>
      <c r="H31" s="123"/>
      <c r="I31" s="123"/>
      <c r="J31" s="103"/>
      <c r="K31" s="104" t="s">
        <v>94</v>
      </c>
      <c r="L31" s="103"/>
      <c r="M31" s="134">
        <f>SUM(M23:M30)</f>
        <v>35.843899999999991</v>
      </c>
    </row>
    <row r="32" spans="1:13" ht="13" x14ac:dyDescent="0.3">
      <c r="B32" s="105" t="s">
        <v>95</v>
      </c>
      <c r="C32" s="115"/>
      <c r="D32" s="115"/>
      <c r="K32" s="9"/>
      <c r="M32" s="124"/>
    </row>
    <row r="33" spans="2:13" x14ac:dyDescent="0.25">
      <c r="B33" s="107" t="s">
        <v>116</v>
      </c>
      <c r="C33" s="116"/>
      <c r="D33" s="116"/>
    </row>
    <row r="34" spans="2:13" x14ac:dyDescent="0.25">
      <c r="B34" s="107" t="s">
        <v>97</v>
      </c>
      <c r="C34" s="115"/>
      <c r="D34" s="115"/>
    </row>
    <row r="35" spans="2:13" x14ac:dyDescent="0.25">
      <c r="B35" s="107" t="s">
        <v>98</v>
      </c>
      <c r="C35" s="115"/>
      <c r="D35" s="115"/>
    </row>
    <row r="36" spans="2:13" x14ac:dyDescent="0.25">
      <c r="B36" s="105" t="s">
        <v>115</v>
      </c>
      <c r="C36" s="115"/>
      <c r="D36" s="115"/>
      <c r="K36" s="9"/>
      <c r="M36" s="106"/>
    </row>
    <row r="37" spans="2:13" x14ac:dyDescent="0.25">
      <c r="B37" s="105" t="s">
        <v>114</v>
      </c>
    </row>
    <row r="38" spans="2:13" x14ac:dyDescent="0.25">
      <c r="B38" s="105" t="s">
        <v>118</v>
      </c>
    </row>
  </sheetData>
  <mergeCells count="2">
    <mergeCell ref="B1:M1"/>
    <mergeCell ref="B21:M21"/>
  </mergeCells>
  <phoneticPr fontId="0" type="noConversion"/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ewe-lamb</vt:lpstr>
      <vt:lpstr>Buildings and Equipment(2)</vt:lpstr>
      <vt:lpstr>'ewe-lamb'!Print_Area</vt:lpstr>
    </vt:vector>
  </TitlesOfParts>
  <Company>The Ohio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Moore</dc:creator>
  <cp:lastModifiedBy>Julie Moose</cp:lastModifiedBy>
  <cp:lastPrinted>2011-06-13T13:23:35Z</cp:lastPrinted>
  <dcterms:created xsi:type="dcterms:W3CDTF">1999-03-15T18:32:04Z</dcterms:created>
  <dcterms:modified xsi:type="dcterms:W3CDTF">2016-12-01T18:11:19Z</dcterms:modified>
</cp:coreProperties>
</file>