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19200" windowHeight="8590"/>
  </bookViews>
  <sheets>
    <sheet name="grass" sheetId="1" r:id="rId1"/>
    <sheet name="Machinery Costs" sheetId="2" r:id="rId2"/>
  </sheets>
  <definedNames>
    <definedName name="_xlnm.Print_Area" localSheetId="0">grass!$A$1:$N$114</definedName>
    <definedName name="_xlnm.Print_Area" localSheetId="1">'Machinery Costs'!$A$1:$I$9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8" i="1" l="1"/>
  <c r="M86" i="1"/>
  <c r="K89" i="1"/>
  <c r="M87" i="1"/>
  <c r="C8" i="2"/>
  <c r="C7" i="2"/>
  <c r="B7" i="2"/>
  <c r="F7" i="2"/>
  <c r="K87" i="1"/>
  <c r="L27" i="1"/>
  <c r="M27" i="1"/>
  <c r="N27" i="1"/>
  <c r="K27" i="1"/>
  <c r="N12" i="1"/>
  <c r="M12" i="1"/>
  <c r="L12" i="1"/>
  <c r="L11" i="1"/>
  <c r="L13" i="1"/>
  <c r="K12" i="1"/>
  <c r="N11" i="1"/>
  <c r="N13" i="1"/>
  <c r="M11" i="1"/>
  <c r="M13" i="1"/>
  <c r="M35" i="1"/>
  <c r="L35" i="1"/>
  <c r="K11" i="1"/>
  <c r="K35" i="1"/>
  <c r="M90" i="1"/>
  <c r="K90" i="1"/>
  <c r="K88" i="1"/>
  <c r="K86" i="1"/>
  <c r="K94" i="1"/>
  <c r="K95" i="1"/>
  <c r="M89" i="1"/>
  <c r="C9" i="2"/>
  <c r="B9" i="2"/>
  <c r="D9" i="2"/>
  <c r="C6" i="2"/>
  <c r="B6" i="2"/>
  <c r="C5" i="2"/>
  <c r="G5" i="2"/>
  <c r="B5" i="2"/>
  <c r="C4" i="2"/>
  <c r="B4" i="2"/>
  <c r="C3" i="2"/>
  <c r="B3" i="2"/>
  <c r="C2" i="2"/>
  <c r="B2" i="2"/>
  <c r="L87" i="1"/>
  <c r="L88" i="1"/>
  <c r="L89" i="1"/>
  <c r="L93" i="1"/>
  <c r="L90" i="1"/>
  <c r="H3" i="2"/>
  <c r="H4" i="2"/>
  <c r="H5" i="2"/>
  <c r="H2" i="2"/>
  <c r="M93" i="1"/>
  <c r="L86" i="1"/>
  <c r="L91" i="1"/>
  <c r="M91" i="1"/>
  <c r="I19" i="1"/>
  <c r="L19" i="1"/>
  <c r="I20" i="1"/>
  <c r="N20" i="1"/>
  <c r="M20" i="1"/>
  <c r="I21" i="1"/>
  <c r="M21" i="1"/>
  <c r="N16" i="1"/>
  <c r="N22" i="1"/>
  <c r="N34" i="1"/>
  <c r="K16" i="1"/>
  <c r="L16" i="1"/>
  <c r="M16" i="1"/>
  <c r="K22" i="1"/>
  <c r="L22" i="1"/>
  <c r="M22" i="1"/>
  <c r="K34" i="1"/>
  <c r="L34" i="1"/>
  <c r="M34" i="1"/>
  <c r="N35" i="1"/>
  <c r="L92" i="1"/>
  <c r="M92" i="1"/>
  <c r="K21" i="1"/>
  <c r="B8" i="2"/>
  <c r="D8" i="2"/>
  <c r="N19" i="1"/>
  <c r="M19" i="1"/>
  <c r="K13" i="1"/>
  <c r="N21" i="1"/>
  <c r="K19" i="1"/>
  <c r="L21" i="1"/>
  <c r="L23" i="1"/>
  <c r="N23" i="1"/>
  <c r="M23" i="1"/>
  <c r="K23" i="1"/>
  <c r="M95" i="1"/>
  <c r="L20" i="1"/>
  <c r="E7" i="2"/>
  <c r="K20" i="1"/>
  <c r="D3" i="2"/>
  <c r="F3" i="2"/>
  <c r="I5" i="2"/>
  <c r="I89" i="1"/>
  <c r="D7" i="2"/>
  <c r="F9" i="2"/>
  <c r="D6" i="2"/>
  <c r="F6" i="2"/>
  <c r="E6" i="2"/>
  <c r="D4" i="2"/>
  <c r="E4" i="2"/>
  <c r="F4" i="2"/>
  <c r="D2" i="2"/>
  <c r="E2" i="2"/>
  <c r="F2" i="2"/>
  <c r="E8" i="2"/>
  <c r="F8" i="2"/>
  <c r="E9" i="2"/>
  <c r="G9" i="2"/>
  <c r="I9" i="2"/>
  <c r="I93" i="1"/>
  <c r="E3" i="2"/>
  <c r="G3" i="2"/>
  <c r="I3" i="2"/>
  <c r="I87" i="1"/>
  <c r="G7" i="2"/>
  <c r="I7" i="2"/>
  <c r="I91" i="1"/>
  <c r="G6" i="2"/>
  <c r="I6" i="2"/>
  <c r="I90" i="1"/>
  <c r="G8" i="2"/>
  <c r="I8" i="2"/>
  <c r="I92" i="1"/>
  <c r="N24" i="1"/>
  <c r="N26" i="1"/>
  <c r="M24" i="1"/>
  <c r="L24" i="1"/>
  <c r="L26" i="1"/>
  <c r="K24" i="1"/>
  <c r="G4" i="2"/>
  <c r="I4" i="2"/>
  <c r="I88" i="1"/>
  <c r="G2" i="2"/>
  <c r="I2" i="2"/>
  <c r="I86" i="1"/>
  <c r="K26" i="1"/>
  <c r="K30" i="1"/>
  <c r="N30" i="1"/>
  <c r="L30" i="1"/>
  <c r="I95" i="1"/>
  <c r="K36" i="1"/>
  <c r="K41" i="1"/>
  <c r="M26" i="1"/>
  <c r="M30" i="1"/>
  <c r="N36" i="1"/>
  <c r="N41" i="1"/>
  <c r="L36" i="1"/>
  <c r="L41" i="1"/>
  <c r="M36" i="1"/>
  <c r="M41" i="1"/>
  <c r="M43" i="1"/>
  <c r="K43" i="1"/>
  <c r="N31" i="1"/>
  <c r="N48" i="1"/>
  <c r="L31" i="1"/>
  <c r="L48" i="1"/>
  <c r="M31" i="1"/>
  <c r="M48" i="1"/>
  <c r="L43" i="1"/>
  <c r="L44" i="1"/>
  <c r="K48" i="1"/>
  <c r="K31" i="1"/>
  <c r="N43" i="1"/>
  <c r="N49" i="1"/>
  <c r="L49" i="1"/>
  <c r="K44" i="1"/>
  <c r="K49" i="1"/>
  <c r="M49" i="1"/>
  <c r="M44" i="1"/>
  <c r="N44" i="1"/>
  <c r="K47" i="1"/>
  <c r="K46" i="1"/>
  <c r="L47" i="1"/>
  <c r="L46" i="1"/>
  <c r="M47" i="1"/>
  <c r="M46" i="1"/>
  <c r="N46" i="1"/>
  <c r="N47" i="1"/>
</calcChain>
</file>

<file path=xl/sharedStrings.xml><?xml version="1.0" encoding="utf-8"?>
<sst xmlns="http://schemas.openxmlformats.org/spreadsheetml/2006/main" count="159" uniqueCount="137">
  <si>
    <t>5 year stand</t>
  </si>
  <si>
    <t>ITEM</t>
  </si>
  <si>
    <t>EXPLANATION</t>
  </si>
  <si>
    <t>PRICE PER</t>
  </si>
  <si>
    <t>YOUR</t>
  </si>
  <si>
    <t>UNIT</t>
  </si>
  <si>
    <t>BUDGET</t>
  </si>
  <si>
    <t>/ton</t>
  </si>
  <si>
    <t>VARIABLE  COSTS</t>
  </si>
  <si>
    <t>pounds</t>
  </si>
  <si>
    <t>/lb</t>
  </si>
  <si>
    <t>N (lbs.)</t>
  </si>
  <si>
    <t>Lime(ton)</t>
  </si>
  <si>
    <t>mo</t>
  </si>
  <si>
    <t>TOTAL VARIABLE COSTS</t>
  </si>
  <si>
    <t>- Per Acre</t>
  </si>
  <si>
    <t>- Per Ton</t>
  </si>
  <si>
    <t>FIXED COSTS</t>
  </si>
  <si>
    <t>hours</t>
  </si>
  <si>
    <t>/hr</t>
  </si>
  <si>
    <t>Management Charge</t>
  </si>
  <si>
    <t>of gross revenue</t>
  </si>
  <si>
    <t>TOTAL FIXED COSTS</t>
  </si>
  <si>
    <t xml:space="preserve">TOTAL COSTS  </t>
  </si>
  <si>
    <t>RETURN ABOVE VARIABLE COSTS</t>
  </si>
  <si>
    <t>RETURN ABOVE TOTAL COSTS</t>
  </si>
  <si>
    <t>See table below for specific calculations.</t>
  </si>
  <si>
    <t>Part or all of labor may be a variable cost if paid labor varies with acres farmed.</t>
  </si>
  <si>
    <t>Return to labor and management is the revenue less total expenses except operator labor and management.</t>
  </si>
  <si>
    <t>It is a measure of the returns to the operator's labor and management.</t>
  </si>
  <si>
    <t xml:space="preserve">Machinery Inventory </t>
  </si>
  <si>
    <t>Number times used</t>
  </si>
  <si>
    <t>Repairs ($/A)</t>
  </si>
  <si>
    <t>Price of Diesel Fuel =</t>
  </si>
  <si>
    <t>*Fuel calculations are based on the implement plus tractor.</t>
  </si>
  <si>
    <r>
      <t>YIELD (ton/A)</t>
    </r>
    <r>
      <rPr>
        <b/>
        <vertAlign val="superscript"/>
        <sz val="10"/>
        <rFont val="Arial"/>
        <family val="2"/>
      </rPr>
      <t xml:space="preserve"> 2</t>
    </r>
  </si>
  <si>
    <r>
      <t xml:space="preserve">RECEIPTS </t>
    </r>
    <r>
      <rPr>
        <b/>
        <vertAlign val="superscript"/>
        <sz val="10"/>
        <rFont val="Arial"/>
        <family val="2"/>
      </rPr>
      <t>3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</si>
  <si>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</si>
  <si>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</si>
  <si>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r>
      <t xml:space="preserve">Fuel, Oil, Grease </t>
    </r>
    <r>
      <rPr>
        <vertAlign val="superscript"/>
        <sz val="10"/>
        <rFont val="Arial"/>
        <family val="2"/>
      </rPr>
      <t>6</t>
    </r>
  </si>
  <si>
    <r>
      <t xml:space="preserve">Repairs </t>
    </r>
    <r>
      <rPr>
        <vertAlign val="superscript"/>
        <sz val="10"/>
        <rFont val="Arial"/>
        <family val="2"/>
      </rPr>
      <t>7</t>
    </r>
  </si>
  <si>
    <r>
      <t>Miscellaneous</t>
    </r>
    <r>
      <rPr>
        <vertAlign val="superscript"/>
        <sz val="10"/>
        <rFont val="Arial"/>
        <family val="2"/>
      </rPr>
      <t xml:space="preserve"> 8</t>
    </r>
  </si>
  <si>
    <r>
      <t xml:space="preserve">Hired Labor </t>
    </r>
    <r>
      <rPr>
        <vertAlign val="superscript"/>
        <sz val="10"/>
        <rFont val="Arial"/>
        <family val="2"/>
      </rPr>
      <t>10</t>
    </r>
  </si>
  <si>
    <r>
      <t xml:space="preserve">Labor Charge </t>
    </r>
    <r>
      <rPr>
        <vertAlign val="superscript"/>
        <sz val="10"/>
        <rFont val="Arial"/>
        <family val="2"/>
      </rPr>
      <t>10</t>
    </r>
  </si>
  <si>
    <r>
      <t xml:space="preserve">Mach. And Equip. Charge </t>
    </r>
    <r>
      <rPr>
        <vertAlign val="superscript"/>
        <sz val="10"/>
        <rFont val="Arial"/>
        <family val="2"/>
      </rPr>
      <t>11</t>
    </r>
  </si>
  <si>
    <r>
      <t xml:space="preserve">Seedbed Preparation/Seeding Costs - Custom Hire  </t>
    </r>
    <r>
      <rPr>
        <vertAlign val="superscript"/>
        <sz val="10"/>
        <rFont val="Arial"/>
        <family val="2"/>
      </rPr>
      <t>12</t>
    </r>
  </si>
  <si>
    <r>
      <t xml:space="preserve">Land Charge </t>
    </r>
    <r>
      <rPr>
        <vertAlign val="superscript"/>
        <sz val="10"/>
        <rFont val="Arial"/>
        <family val="2"/>
      </rPr>
      <t>13</t>
    </r>
  </si>
  <si>
    <t>Machinery Cost</t>
  </si>
  <si>
    <t>Acres per Year</t>
  </si>
  <si>
    <t>Cost per Acre</t>
  </si>
  <si>
    <t>Acres/ Hr</t>
  </si>
  <si>
    <t>Fuel*        (gal/A)</t>
  </si>
  <si>
    <t>Fertilizer Spreader</t>
  </si>
  <si>
    <t>Pickup Truck (1/2)**</t>
  </si>
  <si>
    <t>Fuel</t>
  </si>
  <si>
    <t>Machinery and Equipment Charge per Acre</t>
  </si>
  <si>
    <t>F&amp;L</t>
  </si>
  <si>
    <t>Repairs</t>
  </si>
  <si>
    <t>See table below for specific calculations. Lubrication costs are assumed to be 10% of fuel costs.</t>
  </si>
  <si>
    <t>PROD.</t>
  </si>
  <si>
    <t>NUMBERS</t>
  </si>
  <si>
    <t>following years.</t>
  </si>
  <si>
    <t>-----</t>
  </si>
  <si>
    <t>the spreadsheet.</t>
  </si>
  <si>
    <t>These cells may be input manually, but macros will be overwritten!</t>
  </si>
  <si>
    <t>Values highlighted in gray are stand alone cells that require direct input from the user.</t>
  </si>
  <si>
    <t>Salvage Values are based on ASAE formulas.</t>
  </si>
  <si>
    <t>/ton     MAP(11-52-0):</t>
  </si>
  <si>
    <t>/ton     Potash(0-0-60):</t>
  </si>
  <si>
    <t>Updated:</t>
  </si>
  <si>
    <t>RETURN TO LAND</t>
  </si>
  <si>
    <t>Hours / Year</t>
  </si>
  <si>
    <t>Average Value</t>
  </si>
  <si>
    <t>Depreciation</t>
  </si>
  <si>
    <t>Cost Cap.</t>
  </si>
  <si>
    <t>Insurance</t>
  </si>
  <si>
    <t>Housing</t>
  </si>
  <si>
    <t>Total</t>
  </si>
  <si>
    <t>Cost/acre</t>
  </si>
  <si>
    <t>Acres/Year</t>
  </si>
  <si>
    <r>
      <t xml:space="preserve">RETURN TO LABOR AND MANAGEMENT </t>
    </r>
    <r>
      <rPr>
        <b/>
        <vertAlign val="superscript"/>
        <sz val="10"/>
        <rFont val="Arial"/>
        <family val="2"/>
      </rPr>
      <t>15</t>
    </r>
  </si>
  <si>
    <t xml:space="preserve">be approximately 1/3 of that shown. </t>
  </si>
  <si>
    <t xml:space="preserve"> Labor is a fixed cost if labor costs do not change with acres farmed.</t>
  </si>
  <si>
    <t>Machinery cost estimates, fuel estimates and cost calculations based on information from the "Farm Machinery Cost Estimates"</t>
  </si>
  <si>
    <t>See the reference online at:</t>
  </si>
  <si>
    <t>Year 1</t>
  </si>
  <si>
    <t>Years 2-5</t>
  </si>
  <si>
    <t>of yield</t>
  </si>
  <si>
    <t>Total Hay Receipts</t>
  </si>
  <si>
    <r>
      <t>Seed (prorated over 5 years)</t>
    </r>
    <r>
      <rPr>
        <vertAlign val="superscript"/>
        <sz val="10"/>
        <rFont val="Arial"/>
        <family val="2"/>
      </rPr>
      <t>4</t>
    </r>
  </si>
  <si>
    <t>Soil test values CEC=20, P=25 ppm, K=150 ppm.</t>
  </si>
  <si>
    <t>Hay Rake - 30 ft.</t>
  </si>
  <si>
    <t>/gal Diesel</t>
  </si>
  <si>
    <t>miles</t>
  </si>
  <si>
    <t>Hauling assumes 3.5 tons per wagon. 6 miles/gallon for Truck. Lube/Oil is 10% of fuel cost.</t>
  </si>
  <si>
    <t>Hauling</t>
  </si>
  <si>
    <t>Prepared by:</t>
  </si>
  <si>
    <t xml:space="preserve"> Does not include storage costs.</t>
  </si>
  <si>
    <t>Assumes production of 400 acres of grass hay (total farm size: 2000 acres).</t>
  </si>
  <si>
    <t>Reflects 2000 total acres, 400 acres grass hay, 800 acres corn, 800 acres soybeans. See table below for details.</t>
  </si>
  <si>
    <t xml:space="preserve">Based on pasture rental rates from "Ohio Cropland Values and Cash Rents" factsheet. </t>
  </si>
  <si>
    <t>Land charges vary throughout the state, check your local rates.</t>
  </si>
  <si>
    <r>
      <t xml:space="preserve">Fertilizer </t>
    </r>
    <r>
      <rPr>
        <vertAlign val="superscript"/>
        <sz val="10"/>
        <rFont val="Arial"/>
        <family val="2"/>
      </rPr>
      <t>5</t>
    </r>
  </si>
  <si>
    <r>
      <t xml:space="preserve">Interest on Operating Capital </t>
    </r>
    <r>
      <rPr>
        <vertAlign val="superscript"/>
        <sz val="10"/>
        <rFont val="Arial"/>
        <family val="2"/>
      </rPr>
      <t>9</t>
    </r>
  </si>
  <si>
    <t xml:space="preserve"> Large Round Bale System</t>
  </si>
  <si>
    <t>Based on 90% DM grass hay.  Price and harvest costs could be higher for small square bales.</t>
  </si>
  <si>
    <t xml:space="preserve">Maintenance fertilizer only.  If grass acreage is utilized as summer and winter pasture, potash requirements will </t>
  </si>
  <si>
    <t>Includes supplies, utilities, soil tests, small tools, etc.</t>
  </si>
  <si>
    <t>Seedbed preparation and seeding costs are charged at custom hire rates and prorated over 4 years.  The following</t>
  </si>
  <si>
    <t>http://aede.osu.edu/research/osu-farm-management</t>
  </si>
  <si>
    <t>Rotary Mower/Cond. 12 ft.</t>
  </si>
  <si>
    <t>Hay Trailer (2)</t>
  </si>
  <si>
    <t>Round Baler/Wrap 5'x6'</t>
  </si>
  <si>
    <t>105 HP Tractor</t>
  </si>
  <si>
    <t>75 HP Tractor</t>
  </si>
  <si>
    <t>Machinery and Equipment charge per acre:</t>
  </si>
  <si>
    <t>Machinery Cost (New Cost) Assumes 8 or 16 Year Useful Life using Straight Line Depreciation</t>
  </si>
  <si>
    <t>5.0% Interest on average value, 0.5% Insurance Cost on average value and 1.0% Housing Cost on average value.</t>
  </si>
  <si>
    <t>**Pickup Truck is assumed to be used equipment.</t>
  </si>
  <si>
    <r>
      <t>Grass seed is assumed to be orchardgrass</t>
    </r>
    <r>
      <rPr>
        <sz val="10"/>
        <rFont val="Arial"/>
        <family val="2"/>
      </rPr>
      <t>.</t>
    </r>
  </si>
  <si>
    <r>
      <t>Interest charged for 6 months</t>
    </r>
    <r>
      <rPr>
        <sz val="10"/>
        <rFont val="Arial"/>
        <family val="2"/>
      </rPr>
      <t>.</t>
    </r>
  </si>
  <si>
    <t>Grass Hay - High Quality</t>
  </si>
  <si>
    <t>Grass Hay - Fair Quality</t>
  </si>
  <si>
    <r>
      <t>2016 GRASS HAY PRODUCTION BUDGET</t>
    </r>
    <r>
      <rPr>
        <b/>
        <vertAlign val="superscript"/>
        <sz val="12"/>
        <rFont val="Arial"/>
        <family val="2"/>
      </rPr>
      <t xml:space="preserve"> 1</t>
    </r>
  </si>
  <si>
    <t>rates per acre are included: Chisel Plow $17.80, Field Cultivate-$13.55, Cultimulch-$14.30, Seeding-$16.75 = $62.40.</t>
  </si>
  <si>
    <t>$62.40 divided by 4 years = $15.60/acre</t>
  </si>
  <si>
    <t>Authors: Barry Ward, Dr. Mark Sulc, Dianne Shoemaker, Dr. Mark Loux</t>
  </si>
  <si>
    <t xml:space="preserve">*Leader, Production Business Management; Extension Specialist, Forages; </t>
  </si>
  <si>
    <t>Extension Field Specialist, Dairy Production Economics; Extension Specialist, Weed Science.</t>
  </si>
  <si>
    <t xml:space="preserve">Values highlighted in gold may be changed to assist in computing the "Your Budget" column using macros embeded within  </t>
  </si>
  <si>
    <t>Values highlighted in light blue are cells embedded with macros and will be calculated for the user based on data entered.</t>
  </si>
  <si>
    <t xml:space="preserve">Assumes a 2.0 ton yield in seeding year; yields of approximately 3 and 6 tons, respectively, in the </t>
  </si>
  <si>
    <t xml:space="preserve">                         Assumes UAN(28-0-0):</t>
  </si>
  <si>
    <t>The "machinery cost" tab (next tab at the bottom of this worksheet) shows details of "Machinery and Equipment Charge per Acre".</t>
  </si>
  <si>
    <t xml:space="preserve">Machines are all assumed to be new and in the first year of use (except for pickup truck). </t>
  </si>
  <si>
    <t>https://drive.google.com/file/d/0B3psjoooP5QxWWd3a2cwblJCTjQ/view</t>
  </si>
  <si>
    <t>Based on Ohio Farm Custom Rates: http://aede.osu.edu/about-us/publications/ohio-farm-custom-rates-2016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</si>
</sst>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%"/>
    <numFmt numFmtId="168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b/>
      <vertAlign val="superscript"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applyFont="1"/>
    <xf numFmtId="0" fontId="3" fillId="0" borderId="2" xfId="0" applyFont="1" applyBorder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2" fontId="3" fillId="0" borderId="2" xfId="0" applyNumberFormat="1" applyFont="1" applyBorder="1"/>
    <xf numFmtId="0" fontId="0" fillId="0" borderId="2" xfId="0" applyBorder="1"/>
    <xf numFmtId="0" fontId="7" fillId="0" borderId="0" xfId="0" applyFont="1"/>
    <xf numFmtId="1" fontId="0" fillId="0" borderId="0" xfId="0" applyNumberFormat="1"/>
    <xf numFmtId="2" fontId="0" fillId="0" borderId="0" xfId="0" applyNumberFormat="1"/>
    <xf numFmtId="0" fontId="10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11" fillId="0" borderId="0" xfId="0" applyFont="1"/>
    <xf numFmtId="2" fontId="11" fillId="0" borderId="0" xfId="0" applyNumberFormat="1" applyFont="1"/>
    <xf numFmtId="0" fontId="12" fillId="0" borderId="0" xfId="0" applyFont="1"/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9" fontId="12" fillId="0" borderId="0" xfId="4" applyFont="1"/>
    <xf numFmtId="165" fontId="0" fillId="0" borderId="0" xfId="0" applyNumberFormat="1"/>
    <xf numFmtId="0" fontId="13" fillId="0" borderId="0" xfId="0" applyFont="1" applyAlignment="1">
      <alignment horizontal="center"/>
    </xf>
    <xf numFmtId="0" fontId="13" fillId="0" borderId="0" xfId="0" applyFont="1"/>
    <xf numFmtId="168" fontId="13" fillId="0" borderId="0" xfId="1" applyNumberFormat="1" applyFont="1" applyAlignment="1">
      <alignment horizontal="center"/>
    </xf>
    <xf numFmtId="9" fontId="13" fillId="0" borderId="0" xfId="4" applyFont="1" applyAlignment="1">
      <alignment horizontal="right"/>
    </xf>
    <xf numFmtId="9" fontId="12" fillId="0" borderId="0" xfId="4" applyFont="1" applyAlignment="1">
      <alignment horizontal="right"/>
    </xf>
    <xf numFmtId="168" fontId="12" fillId="0" borderId="0" xfId="1" applyNumberFormat="1" applyFont="1"/>
    <xf numFmtId="2" fontId="13" fillId="0" borderId="0" xfId="0" applyNumberFormat="1" applyFont="1"/>
    <xf numFmtId="168" fontId="1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13" fillId="0" borderId="0" xfId="0" applyNumberFormat="1" applyFont="1" applyAlignment="1">
      <alignment horizontal="right"/>
    </xf>
    <xf numFmtId="4" fontId="5" fillId="0" borderId="0" xfId="0" applyNumberFormat="1" applyFont="1"/>
    <xf numFmtId="164" fontId="14" fillId="2" borderId="2" xfId="0" applyNumberFormat="1" applyFont="1" applyFill="1" applyBorder="1"/>
    <xf numFmtId="166" fontId="14" fillId="2" borderId="0" xfId="0" applyNumberFormat="1" applyFont="1" applyFill="1"/>
    <xf numFmtId="0" fontId="14" fillId="2" borderId="0" xfId="0" applyFont="1" applyFill="1"/>
    <xf numFmtId="2" fontId="14" fillId="2" borderId="0" xfId="0" applyNumberFormat="1" applyFont="1" applyFill="1"/>
    <xf numFmtId="167" fontId="14" fillId="2" borderId="0" xfId="0" applyNumberFormat="1" applyFont="1" applyFill="1"/>
    <xf numFmtId="4" fontId="3" fillId="0" borderId="0" xfId="0" applyNumberFormat="1" applyFont="1"/>
    <xf numFmtId="4" fontId="5" fillId="3" borderId="0" xfId="0" applyNumberFormat="1" applyFont="1" applyFill="1"/>
    <xf numFmtId="4" fontId="3" fillId="0" borderId="3" xfId="0" applyNumberFormat="1" applyFont="1" applyBorder="1"/>
    <xf numFmtId="4" fontId="3" fillId="0" borderId="0" xfId="0" quotePrefix="1" applyNumberFormat="1" applyFont="1" applyBorder="1"/>
    <xf numFmtId="4" fontId="5" fillId="0" borderId="0" xfId="0" quotePrefix="1" applyNumberFormat="1" applyFont="1" applyBorder="1"/>
    <xf numFmtId="4" fontId="5" fillId="4" borderId="0" xfId="0" applyNumberFormat="1" applyFont="1" applyFill="1"/>
    <xf numFmtId="4" fontId="5" fillId="4" borderId="3" xfId="0" applyNumberFormat="1" applyFont="1" applyFill="1" applyBorder="1"/>
    <xf numFmtId="9" fontId="14" fillId="2" borderId="0" xfId="4" applyFont="1" applyFill="1"/>
    <xf numFmtId="165" fontId="0" fillId="3" borderId="2" xfId="0" applyNumberForma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166" fontId="12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166" fontId="12" fillId="2" borderId="2" xfId="2" applyNumberFormat="1" applyFont="1" applyFill="1" applyBorder="1" applyAlignment="1">
      <alignment horizontal="center"/>
    </xf>
    <xf numFmtId="3" fontId="12" fillId="2" borderId="2" xfId="2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12" fillId="0" borderId="0" xfId="0" quotePrefix="1" applyFont="1" applyAlignment="1">
      <alignment horizontal="center"/>
    </xf>
    <xf numFmtId="2" fontId="12" fillId="0" borderId="2" xfId="0" quotePrefix="1" applyNumberFormat="1" applyFont="1" applyBorder="1" applyAlignment="1">
      <alignment horizontal="center"/>
    </xf>
    <xf numFmtId="0" fontId="12" fillId="0" borderId="0" xfId="0" applyFont="1" applyFill="1"/>
    <xf numFmtId="7" fontId="13" fillId="2" borderId="0" xfId="2" applyNumberFormat="1" applyFont="1" applyFill="1"/>
    <xf numFmtId="165" fontId="13" fillId="3" borderId="0" xfId="0" applyNumberFormat="1" applyFont="1" applyFill="1" applyAlignment="1">
      <alignment horizontal="center"/>
    </xf>
    <xf numFmtId="2" fontId="13" fillId="3" borderId="0" xfId="0" applyNumberFormat="1" applyFont="1" applyFill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0" fontId="0" fillId="0" borderId="1" xfId="0" applyBorder="1"/>
    <xf numFmtId="165" fontId="0" fillId="3" borderId="1" xfId="0" applyNumberForma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8" fontId="12" fillId="0" borderId="0" xfId="0" applyNumberFormat="1" applyFont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12" fillId="0" borderId="0" xfId="0" quotePrefix="1" applyFont="1"/>
    <xf numFmtId="2" fontId="12" fillId="0" borderId="0" xfId="0" applyNumberFormat="1" applyFont="1"/>
    <xf numFmtId="1" fontId="12" fillId="2" borderId="0" xfId="0" applyNumberFormat="1" applyFont="1" applyFill="1"/>
    <xf numFmtId="2" fontId="12" fillId="0" borderId="0" xfId="0" quotePrefix="1" applyNumberFormat="1" applyFont="1"/>
    <xf numFmtId="165" fontId="0" fillId="3" borderId="0" xfId="0" applyNumberFormat="1" applyFill="1" applyBorder="1" applyAlignment="1">
      <alignment horizontal="center"/>
    </xf>
    <xf numFmtId="0" fontId="5" fillId="0" borderId="0" xfId="0" applyFont="1" applyAlignment="1"/>
    <xf numFmtId="0" fontId="14" fillId="0" borderId="0" xfId="0" applyFont="1"/>
    <xf numFmtId="2" fontId="0" fillId="0" borderId="0" xfId="0" applyNumberFormat="1" applyAlignment="1">
      <alignment horizontal="center" wrapText="1"/>
    </xf>
    <xf numFmtId="165" fontId="0" fillId="0" borderId="1" xfId="0" applyNumberFormat="1" applyFill="1" applyBorder="1"/>
    <xf numFmtId="165" fontId="12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0" xfId="0" applyNumberFormat="1" applyFill="1" applyBorder="1"/>
    <xf numFmtId="165" fontId="12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2" xfId="0" applyNumberFormat="1" applyFill="1" applyBorder="1"/>
    <xf numFmtId="165" fontId="12" fillId="0" borderId="2" xfId="0" applyNumberFormat="1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2" fontId="12" fillId="3" borderId="0" xfId="0" applyNumberFormat="1" applyFont="1" applyFill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164" fontId="12" fillId="2" borderId="0" xfId="0" quotePrefix="1" applyNumberFormat="1" applyFont="1" applyFill="1" applyAlignment="1">
      <alignment horizontal="center"/>
    </xf>
    <xf numFmtId="2" fontId="0" fillId="3" borderId="0" xfId="0" applyNumberFormat="1" applyFill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3" fontId="0" fillId="0" borderId="1" xfId="0" applyNumberFormat="1" applyFill="1" applyBorder="1"/>
    <xf numFmtId="3" fontId="0" fillId="0" borderId="0" xfId="0" applyNumberFormat="1" applyFill="1" applyBorder="1"/>
    <xf numFmtId="3" fontId="0" fillId="0" borderId="2" xfId="0" applyNumberFormat="1" applyFill="1" applyBorder="1"/>
    <xf numFmtId="2" fontId="0" fillId="3" borderId="1" xfId="0" applyNumberFormat="1" applyFill="1" applyBorder="1"/>
    <xf numFmtId="39" fontId="12" fillId="3" borderId="2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9" fontId="14" fillId="0" borderId="0" xfId="4" applyFont="1" applyFill="1"/>
    <xf numFmtId="4" fontId="5" fillId="5" borderId="0" xfId="0" applyNumberFormat="1" applyFont="1" applyFill="1" applyBorder="1"/>
    <xf numFmtId="0" fontId="16" fillId="0" borderId="0" xfId="3" applyFont="1" applyAlignment="1" applyProtection="1"/>
    <xf numFmtId="166" fontId="14" fillId="0" borderId="0" xfId="0" applyNumberFormat="1" applyFont="1" applyFill="1"/>
    <xf numFmtId="4" fontId="5" fillId="5" borderId="0" xfId="0" applyNumberFormat="1" applyFont="1" applyFill="1"/>
    <xf numFmtId="4" fontId="5" fillId="5" borderId="3" xfId="0" applyNumberFormat="1" applyFont="1" applyFill="1" applyBorder="1"/>
    <xf numFmtId="4" fontId="5" fillId="0" borderId="3" xfId="0" applyNumberFormat="1" applyFont="1" applyFill="1" applyBorder="1"/>
    <xf numFmtId="8" fontId="14" fillId="2" borderId="0" xfId="0" applyNumberFormat="1" applyFont="1" applyFill="1"/>
    <xf numFmtId="1" fontId="14" fillId="2" borderId="0" xfId="0" applyNumberFormat="1" applyFont="1" applyFill="1"/>
    <xf numFmtId="0" fontId="3" fillId="0" borderId="0" xfId="0" applyNumberFormat="1" applyFont="1" applyFill="1" applyAlignment="1"/>
    <xf numFmtId="0" fontId="3" fillId="0" borderId="0" xfId="0" applyFont="1" applyFill="1"/>
    <xf numFmtId="2" fontId="3" fillId="0" borderId="0" xfId="0" applyNumberFormat="1" applyFont="1" applyFill="1"/>
    <xf numFmtId="0" fontId="12" fillId="0" borderId="0" xfId="0" applyFont="1" applyBorder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2" fontId="0" fillId="5" borderId="2" xfId="0" applyNumberFormat="1" applyFill="1" applyBorder="1"/>
    <xf numFmtId="0" fontId="4" fillId="0" borderId="0" xfId="0" applyFont="1" applyAlignment="1">
      <alignment horizontal="center"/>
    </xf>
    <xf numFmtId="0" fontId="3" fillId="6" borderId="0" xfId="0" applyFont="1" applyFill="1"/>
    <xf numFmtId="0" fontId="0" fillId="0" borderId="0" xfId="0" applyFont="1"/>
    <xf numFmtId="0" fontId="1" fillId="0" borderId="0" xfId="0" applyFont="1"/>
    <xf numFmtId="0" fontId="0" fillId="0" borderId="0" xfId="0" applyFont="1" applyBorder="1"/>
    <xf numFmtId="0" fontId="1" fillId="0" borderId="0" xfId="0" applyFont="1" applyBorder="1"/>
    <xf numFmtId="0" fontId="0" fillId="0" borderId="0" xfId="0" applyBorder="1"/>
    <xf numFmtId="0" fontId="12" fillId="0" borderId="0" xfId="0" applyFont="1" applyFill="1" applyBorder="1"/>
    <xf numFmtId="165" fontId="14" fillId="2" borderId="0" xfId="0" applyNumberFormat="1" applyFont="1" applyFill="1"/>
    <xf numFmtId="0" fontId="3" fillId="7" borderId="0" xfId="0" applyFont="1" applyFill="1"/>
    <xf numFmtId="0" fontId="3" fillId="5" borderId="0" xfId="0" applyFont="1" applyFill="1"/>
    <xf numFmtId="0" fontId="3" fillId="8" borderId="0" xfId="0" applyFont="1" applyFill="1"/>
    <xf numFmtId="14" fontId="5" fillId="0" borderId="0" xfId="0" applyNumberFormat="1" applyFont="1" applyAlignment="1"/>
    <xf numFmtId="0" fontId="5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CCFF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4</xdr:col>
      <xdr:colOff>495300</xdr:colOff>
      <xdr:row>4</xdr:row>
      <xdr:rowOff>85725</xdr:rowOff>
    </xdr:to>
    <xdr:pic>
      <xdr:nvPicPr>
        <xdr:cNvPr id="3" name="Picture 2" descr="OSU Exten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22479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7"/>
  <sheetViews>
    <sheetView tabSelected="1" view="pageBreakPreview" workbookViewId="0">
      <selection activeCell="G1" sqref="G1"/>
    </sheetView>
  </sheetViews>
  <sheetFormatPr defaultColWidth="8.81640625" defaultRowHeight="12.5" x14ac:dyDescent="0.25"/>
  <cols>
    <col min="1" max="2" width="2.7265625" customWidth="1"/>
    <col min="3" max="3" width="15.81640625" customWidth="1"/>
    <col min="4" max="4" width="6.453125" customWidth="1"/>
    <col min="5" max="5" width="8.7265625" customWidth="1"/>
    <col min="6" max="7" width="8.1796875" customWidth="1"/>
    <col min="8" max="8" width="8.453125" customWidth="1"/>
    <col min="9" max="9" width="7.453125" customWidth="1"/>
    <col min="10" max="10" width="5.7265625" customWidth="1"/>
    <col min="11" max="11" width="8" style="18" customWidth="1"/>
    <col min="12" max="12" width="7.453125" style="18" customWidth="1"/>
    <col min="13" max="13" width="8.453125" style="18" customWidth="1"/>
    <col min="14" max="14" width="8.26953125" customWidth="1"/>
  </cols>
  <sheetData>
    <row r="1" spans="1:19" ht="17.5" x14ac:dyDescent="0.35">
      <c r="A1" s="134"/>
      <c r="B1" s="134"/>
      <c r="C1" s="134"/>
      <c r="D1" s="134"/>
      <c r="E1" s="134"/>
      <c r="F1" s="133"/>
      <c r="G1" s="133"/>
      <c r="H1" s="133"/>
      <c r="I1" s="133" t="s">
        <v>123</v>
      </c>
      <c r="J1" s="133"/>
      <c r="K1" s="133"/>
      <c r="L1" s="133"/>
      <c r="M1" s="133"/>
      <c r="N1" s="1"/>
    </row>
    <row r="2" spans="1:19" ht="15.5" x14ac:dyDescent="0.35">
      <c r="A2" s="134"/>
      <c r="B2" s="134"/>
      <c r="C2" s="134"/>
      <c r="D2" s="134"/>
      <c r="E2" s="134"/>
      <c r="F2" s="133"/>
      <c r="G2" s="133"/>
      <c r="H2" s="133"/>
      <c r="I2" s="133" t="s">
        <v>104</v>
      </c>
      <c r="J2" s="133"/>
      <c r="K2" s="133"/>
      <c r="L2" s="133"/>
      <c r="M2" s="133"/>
      <c r="N2" s="1"/>
    </row>
    <row r="3" spans="1:19" ht="15.5" x14ac:dyDescent="0.35">
      <c r="A3" s="134"/>
      <c r="B3" s="134"/>
      <c r="C3" s="134"/>
      <c r="D3" s="134"/>
      <c r="E3" s="134"/>
      <c r="F3" s="133"/>
      <c r="G3" s="133"/>
      <c r="H3" s="133"/>
      <c r="I3" s="133" t="s">
        <v>0</v>
      </c>
      <c r="J3" s="133"/>
      <c r="K3" s="133"/>
      <c r="L3" s="133"/>
      <c r="M3" s="133"/>
      <c r="N3" s="1"/>
    </row>
    <row r="4" spans="1:19" ht="13.5" customHeight="1" x14ac:dyDescent="0.35">
      <c r="A4" s="134"/>
      <c r="B4" s="134"/>
      <c r="C4" s="134"/>
      <c r="D4" s="134"/>
      <c r="E4" s="134"/>
      <c r="F4" s="40"/>
      <c r="G4" s="40"/>
      <c r="H4" s="40"/>
      <c r="I4" s="40"/>
      <c r="J4" s="40"/>
      <c r="K4" s="40"/>
      <c r="O4" s="88"/>
    </row>
    <row r="5" spans="1:19" ht="14.25" customHeight="1" x14ac:dyDescent="0.35">
      <c r="A5" s="134"/>
      <c r="B5" s="134"/>
      <c r="C5" s="134"/>
      <c r="D5" s="134"/>
      <c r="E5" s="134"/>
      <c r="F5" s="40"/>
      <c r="G5" s="40"/>
      <c r="H5" s="40"/>
      <c r="I5" s="40"/>
      <c r="J5" s="40"/>
      <c r="K5" s="22" t="s">
        <v>69</v>
      </c>
      <c r="L5" s="40"/>
      <c r="M5" s="145">
        <v>42573</v>
      </c>
      <c r="N5" s="146"/>
    </row>
    <row r="6" spans="1:19" ht="15" x14ac:dyDescent="0.3">
      <c r="A6" s="148" t="s">
        <v>1</v>
      </c>
      <c r="B6" s="148"/>
      <c r="C6" s="148"/>
      <c r="D6" s="148"/>
      <c r="E6" s="4"/>
      <c r="F6" s="148" t="s">
        <v>2</v>
      </c>
      <c r="G6" s="148"/>
      <c r="H6" s="3" t="s">
        <v>4</v>
      </c>
      <c r="I6" s="148" t="s">
        <v>3</v>
      </c>
      <c r="J6" s="148"/>
      <c r="K6" s="150" t="s">
        <v>35</v>
      </c>
      <c r="L6" s="150"/>
      <c r="M6" s="150"/>
      <c r="N6" s="3" t="s">
        <v>4</v>
      </c>
    </row>
    <row r="7" spans="1:19" ht="13" x14ac:dyDescent="0.3">
      <c r="A7" s="5"/>
      <c r="B7" s="5"/>
      <c r="C7" s="5"/>
      <c r="D7" s="5"/>
      <c r="E7" s="5"/>
      <c r="F7" s="5"/>
      <c r="G7" s="5"/>
      <c r="H7" s="5" t="s">
        <v>59</v>
      </c>
      <c r="I7" s="149" t="s">
        <v>5</v>
      </c>
      <c r="J7" s="149"/>
      <c r="K7" s="7" t="s">
        <v>85</v>
      </c>
      <c r="L7" s="151" t="s">
        <v>86</v>
      </c>
      <c r="M7" s="151"/>
      <c r="N7" s="6" t="s">
        <v>6</v>
      </c>
    </row>
    <row r="8" spans="1:19" ht="13" x14ac:dyDescent="0.3">
      <c r="A8" s="8"/>
      <c r="B8" s="8"/>
      <c r="C8" s="8"/>
      <c r="D8" s="8"/>
      <c r="E8" s="8"/>
      <c r="F8" s="8"/>
      <c r="G8" s="8"/>
      <c r="H8" s="8" t="s">
        <v>60</v>
      </c>
      <c r="I8" s="8"/>
      <c r="J8" s="8"/>
      <c r="K8" s="9">
        <v>2</v>
      </c>
      <c r="L8" s="9">
        <v>3</v>
      </c>
      <c r="M8" s="9">
        <v>6</v>
      </c>
      <c r="N8" s="43">
        <v>7</v>
      </c>
    </row>
    <row r="9" spans="1:19" ht="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22"/>
      <c r="L9" s="2"/>
      <c r="M9" s="2"/>
      <c r="N9" s="1"/>
    </row>
    <row r="10" spans="1:19" ht="15" x14ac:dyDescent="0.3">
      <c r="A10" s="10" t="s">
        <v>36</v>
      </c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1"/>
    </row>
    <row r="11" spans="1:19" ht="13" x14ac:dyDescent="0.3">
      <c r="A11" s="1"/>
      <c r="B11" s="136" t="s">
        <v>121</v>
      </c>
      <c r="C11" s="1"/>
      <c r="D11" s="1"/>
      <c r="E11" s="1"/>
      <c r="F11" s="55">
        <v>0.6</v>
      </c>
      <c r="G11" s="1" t="s">
        <v>87</v>
      </c>
      <c r="H11" s="1"/>
      <c r="I11" s="44">
        <v>115</v>
      </c>
      <c r="J11" s="135" t="s">
        <v>7</v>
      </c>
      <c r="K11" s="48">
        <f>+$I$11*$F$11*K8</f>
        <v>138</v>
      </c>
      <c r="L11" s="48">
        <f>+$I$11*$F$11*L8</f>
        <v>207</v>
      </c>
      <c r="M11" s="48">
        <f>+$I$11*$F$11*M8</f>
        <v>414</v>
      </c>
      <c r="N11" s="120">
        <f>+$I$11*$F$11*N8</f>
        <v>483</v>
      </c>
      <c r="R11" s="89"/>
    </row>
    <row r="12" spans="1:19" ht="13" x14ac:dyDescent="0.3">
      <c r="A12" s="1"/>
      <c r="B12" s="136" t="s">
        <v>122</v>
      </c>
      <c r="C12" s="1"/>
      <c r="D12" s="1"/>
      <c r="E12" s="1"/>
      <c r="F12" s="55">
        <v>0.4</v>
      </c>
      <c r="G12" s="1" t="s">
        <v>87</v>
      </c>
      <c r="H12" s="1"/>
      <c r="I12" s="44">
        <v>90</v>
      </c>
      <c r="J12" s="1" t="s">
        <v>7</v>
      </c>
      <c r="K12" s="50">
        <f>$I$12*$F$12*K8</f>
        <v>72</v>
      </c>
      <c r="L12" s="50">
        <f>$I$12*$F$12*L8</f>
        <v>108</v>
      </c>
      <c r="M12" s="50">
        <f>$I$12*$F$12*M8</f>
        <v>216</v>
      </c>
      <c r="N12" s="121">
        <f>$I$12*$F$12*N8</f>
        <v>252</v>
      </c>
      <c r="R12" s="89"/>
    </row>
    <row r="13" spans="1:19" ht="13" x14ac:dyDescent="0.3">
      <c r="A13" s="1"/>
      <c r="B13" s="1" t="s">
        <v>88</v>
      </c>
      <c r="C13" s="1"/>
      <c r="D13" s="1"/>
      <c r="E13" s="1"/>
      <c r="F13" s="116"/>
      <c r="G13" s="1"/>
      <c r="H13" s="1"/>
      <c r="I13" s="119"/>
      <c r="J13" s="1"/>
      <c r="K13" s="48">
        <f>SUM(K11:K12)</f>
        <v>210</v>
      </c>
      <c r="L13" s="48">
        <f>SUM(L11:L12)</f>
        <v>315</v>
      </c>
      <c r="M13" s="48">
        <f>SUM(M11:M12)</f>
        <v>630</v>
      </c>
      <c r="N13" s="120">
        <f>SUM(N11:N12)</f>
        <v>735</v>
      </c>
      <c r="R13" s="89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48"/>
      <c r="L14" s="48"/>
      <c r="M14" s="48"/>
      <c r="N14" s="48"/>
    </row>
    <row r="15" spans="1:19" ht="13" x14ac:dyDescent="0.3">
      <c r="A15" s="10" t="s">
        <v>8</v>
      </c>
      <c r="B15" s="1"/>
      <c r="C15" s="1"/>
      <c r="D15" s="1"/>
      <c r="E15" s="1"/>
      <c r="F15" s="1"/>
      <c r="G15" s="1"/>
      <c r="H15" s="1"/>
      <c r="I15" s="1"/>
      <c r="J15" s="1"/>
      <c r="K15" s="48"/>
      <c r="L15" s="48"/>
      <c r="M15" s="48"/>
      <c r="N15" s="48"/>
      <c r="S15" s="10"/>
    </row>
    <row r="16" spans="1:19" ht="15" x14ac:dyDescent="0.3">
      <c r="A16" s="1"/>
      <c r="B16" s="1" t="s">
        <v>89</v>
      </c>
      <c r="C16" s="1"/>
      <c r="D16" s="1"/>
      <c r="E16" s="1"/>
      <c r="F16" s="1">
        <v>10</v>
      </c>
      <c r="G16" s="1" t="s">
        <v>9</v>
      </c>
      <c r="H16" s="45">
        <v>10</v>
      </c>
      <c r="I16" s="46">
        <v>4.5</v>
      </c>
      <c r="J16" s="1" t="s">
        <v>10</v>
      </c>
      <c r="K16" s="48">
        <f>($F$16*$I$16)/5</f>
        <v>9</v>
      </c>
      <c r="L16" s="48">
        <f>($F$16*$I$16)/5</f>
        <v>9</v>
      </c>
      <c r="M16" s="48">
        <f>($F$16*$I$16)/5</f>
        <v>9</v>
      </c>
      <c r="N16" s="49">
        <f>($F$16*$I$16)/5</f>
        <v>9</v>
      </c>
    </row>
    <row r="17" spans="1:14" ht="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48"/>
      <c r="L17" s="48"/>
      <c r="M17" s="48"/>
      <c r="N17" s="42"/>
    </row>
    <row r="18" spans="1:14" ht="15" x14ac:dyDescent="0.3">
      <c r="A18" s="1"/>
      <c r="B18" s="1" t="s">
        <v>102</v>
      </c>
      <c r="C18" s="1"/>
      <c r="D18" s="1"/>
      <c r="E18" s="1"/>
      <c r="F18" s="1"/>
      <c r="G18" s="1"/>
      <c r="H18" s="1"/>
      <c r="I18" s="1"/>
      <c r="J18" s="1"/>
      <c r="K18" s="48"/>
      <c r="L18" s="48"/>
      <c r="M18" s="48"/>
      <c r="N18" s="42"/>
    </row>
    <row r="19" spans="1:14" ht="13" x14ac:dyDescent="0.3">
      <c r="A19" s="1"/>
      <c r="B19" s="1"/>
      <c r="C19" s="1" t="s">
        <v>11</v>
      </c>
      <c r="D19" s="1"/>
      <c r="E19" s="1">
        <v>30</v>
      </c>
      <c r="F19" s="1">
        <v>65</v>
      </c>
      <c r="G19" s="1">
        <v>130</v>
      </c>
      <c r="H19" s="45">
        <v>130</v>
      </c>
      <c r="I19" s="45">
        <f>F64/560</f>
        <v>0.5</v>
      </c>
      <c r="J19" s="1" t="s">
        <v>10</v>
      </c>
      <c r="K19" s="48">
        <f>+$I$19*E19</f>
        <v>15</v>
      </c>
      <c r="L19" s="48">
        <f>+$I$19*F19</f>
        <v>32.5</v>
      </c>
      <c r="M19" s="48">
        <f>+$I$19*G19</f>
        <v>65</v>
      </c>
      <c r="N19" s="49">
        <f>+$I19*H19</f>
        <v>65</v>
      </c>
    </row>
    <row r="20" spans="1:14" ht="15.5" x14ac:dyDescent="0.4">
      <c r="A20" s="1"/>
      <c r="B20" s="1"/>
      <c r="C20" s="1" t="s">
        <v>37</v>
      </c>
      <c r="D20" s="1"/>
      <c r="E20" s="1">
        <v>25</v>
      </c>
      <c r="F20" s="1">
        <v>40</v>
      </c>
      <c r="G20" s="1">
        <v>65</v>
      </c>
      <c r="H20" s="45">
        <v>65</v>
      </c>
      <c r="I20" s="45">
        <f>I64/1040</f>
        <v>0.46153846153846156</v>
      </c>
      <c r="J20" s="1" t="s">
        <v>10</v>
      </c>
      <c r="K20" s="48">
        <f>+$I$20*E20</f>
        <v>11.538461538461538</v>
      </c>
      <c r="L20" s="48">
        <f>+$I$20*F20</f>
        <v>18.461538461538463</v>
      </c>
      <c r="M20" s="48">
        <f>+$I$20*G20</f>
        <v>30</v>
      </c>
      <c r="N20" s="49">
        <f>+$I20*H20</f>
        <v>30</v>
      </c>
    </row>
    <row r="21" spans="1:14" ht="15.5" x14ac:dyDescent="0.4">
      <c r="A21" s="1"/>
      <c r="B21" s="1"/>
      <c r="C21" s="1" t="s">
        <v>38</v>
      </c>
      <c r="D21" s="1"/>
      <c r="E21" s="1">
        <v>60</v>
      </c>
      <c r="F21" s="1">
        <v>85</v>
      </c>
      <c r="G21" s="1">
        <v>110</v>
      </c>
      <c r="H21" s="45">
        <v>110</v>
      </c>
      <c r="I21" s="45">
        <f>M64/1200</f>
        <v>0.27500000000000002</v>
      </c>
      <c r="J21" s="1" t="s">
        <v>10</v>
      </c>
      <c r="K21" s="48">
        <f>+$I$21*E21</f>
        <v>16.5</v>
      </c>
      <c r="L21" s="48">
        <f>+$I$21*F21</f>
        <v>23.375000000000004</v>
      </c>
      <c r="M21" s="48">
        <f>+$I$21*G21</f>
        <v>30.250000000000004</v>
      </c>
      <c r="N21" s="49">
        <f>+$I21*H21</f>
        <v>30.250000000000004</v>
      </c>
    </row>
    <row r="22" spans="1:14" ht="13" x14ac:dyDescent="0.3">
      <c r="A22" s="1"/>
      <c r="B22" s="1"/>
      <c r="C22" s="1" t="s">
        <v>12</v>
      </c>
      <c r="D22" s="1"/>
      <c r="E22" s="1"/>
      <c r="F22" s="1">
        <v>0.25</v>
      </c>
      <c r="G22" s="1"/>
      <c r="H22" s="45">
        <v>0.25</v>
      </c>
      <c r="I22" s="45">
        <v>25</v>
      </c>
      <c r="J22" s="1" t="s">
        <v>7</v>
      </c>
      <c r="K22" s="48">
        <f>+F22*I22</f>
        <v>6.25</v>
      </c>
      <c r="L22" s="48">
        <f>+F22*I22</f>
        <v>6.25</v>
      </c>
      <c r="M22" s="48">
        <f>+F22*I22</f>
        <v>6.25</v>
      </c>
      <c r="N22" s="49">
        <f>H22*I22</f>
        <v>6.25</v>
      </c>
    </row>
    <row r="23" spans="1:14" ht="15" x14ac:dyDescent="0.3">
      <c r="A23" s="1"/>
      <c r="B23" s="1" t="s">
        <v>39</v>
      </c>
      <c r="C23" s="1"/>
      <c r="D23" s="1"/>
      <c r="E23" s="1"/>
      <c r="F23" s="1"/>
      <c r="G23" s="1"/>
      <c r="H23" s="1"/>
      <c r="I23" s="1"/>
      <c r="J23" s="1"/>
      <c r="K23" s="48">
        <f>+$K$95</f>
        <v>5.8327499999999999</v>
      </c>
      <c r="L23" s="48">
        <f>+$K$95</f>
        <v>5.8327499999999999</v>
      </c>
      <c r="M23" s="48">
        <f>+$K$95</f>
        <v>5.8327499999999999</v>
      </c>
      <c r="N23" s="49">
        <f>+$K$95</f>
        <v>5.8327499999999999</v>
      </c>
    </row>
    <row r="24" spans="1:14" ht="15" x14ac:dyDescent="0.3">
      <c r="A24" s="1"/>
      <c r="B24" s="1" t="s">
        <v>40</v>
      </c>
      <c r="C24" s="1"/>
      <c r="D24" s="1"/>
      <c r="E24" s="1"/>
      <c r="F24" s="1"/>
      <c r="G24" s="1"/>
      <c r="H24" s="1"/>
      <c r="I24" s="1"/>
      <c r="J24" s="1"/>
      <c r="K24" s="48">
        <f>+$M$95</f>
        <v>15.756575164273771</v>
      </c>
      <c r="L24" s="48">
        <f>+$M$95</f>
        <v>15.756575164273771</v>
      </c>
      <c r="M24" s="48">
        <f>+$M$95</f>
        <v>15.756575164273771</v>
      </c>
      <c r="N24" s="49">
        <f>+$M$95</f>
        <v>15.756575164273771</v>
      </c>
    </row>
    <row r="25" spans="1:14" ht="15" x14ac:dyDescent="0.3">
      <c r="A25" s="1"/>
      <c r="B25" s="1" t="s">
        <v>41</v>
      </c>
      <c r="C25" s="1"/>
      <c r="D25" s="1"/>
      <c r="E25" s="1"/>
      <c r="F25" s="1"/>
      <c r="G25" s="1"/>
      <c r="H25" s="1"/>
      <c r="I25" s="1"/>
      <c r="J25" s="1"/>
      <c r="K25" s="48">
        <v>4</v>
      </c>
      <c r="L25" s="48">
        <v>5</v>
      </c>
      <c r="M25" s="48">
        <v>6</v>
      </c>
      <c r="N25" s="53">
        <v>6</v>
      </c>
    </row>
    <row r="26" spans="1:14" ht="15" x14ac:dyDescent="0.3">
      <c r="A26" s="1"/>
      <c r="B26" s="1" t="s">
        <v>103</v>
      </c>
      <c r="C26" s="1"/>
      <c r="D26" s="1"/>
      <c r="E26" s="1"/>
      <c r="F26" s="45">
        <v>6</v>
      </c>
      <c r="G26" s="1" t="s">
        <v>13</v>
      </c>
      <c r="H26" s="1"/>
      <c r="I26" s="47">
        <v>4.4999999999999998E-2</v>
      </c>
      <c r="J26" s="1"/>
      <c r="K26" s="48">
        <f>SUM(K16:K25)*I26*(F26/12)</f>
        <v>1.8872502008115444</v>
      </c>
      <c r="L26" s="48">
        <f>SUM(L16:L25)*I26*(F26/12)</f>
        <v>2.6139569315807751</v>
      </c>
      <c r="M26" s="48">
        <f>SUM(M16:M25)*I26*(F26/12)</f>
        <v>3.7820098161961599</v>
      </c>
      <c r="N26" s="49">
        <f>SUM(N16:N25)*I26*(F26/12)</f>
        <v>3.7820098161961599</v>
      </c>
    </row>
    <row r="27" spans="1:14" ht="13" x14ac:dyDescent="0.3">
      <c r="A27" s="1"/>
      <c r="B27" s="125" t="s">
        <v>95</v>
      </c>
      <c r="C27" s="1"/>
      <c r="D27" s="1"/>
      <c r="E27" s="1"/>
      <c r="F27" s="123">
        <v>2.25</v>
      </c>
      <c r="G27" s="1" t="s">
        <v>92</v>
      </c>
      <c r="H27" s="1"/>
      <c r="I27" s="124">
        <v>20</v>
      </c>
      <c r="J27" s="1" t="s">
        <v>93</v>
      </c>
      <c r="K27" s="48">
        <f>(((($I$27/6)*$F$27)/3.5)*K8)+(((($I$27/6)*$F$27)/3.5)*K8)*0.1</f>
        <v>4.7142857142857144</v>
      </c>
      <c r="L27" s="48">
        <f>(((($I$27/6)*$F$27)/3.5)*L8)+(((($I$27/6)*$F$27)/3.5)*L8)*0.1</f>
        <v>7.0714285714285721</v>
      </c>
      <c r="M27" s="48">
        <f>(((($I$27/6)*$F$27)/3.5)*M8)+(((($I$27/6)*$F$27)/3.5)*M8)*0.1</f>
        <v>14.142857142857144</v>
      </c>
      <c r="N27" s="48">
        <f>(((($I$27/6)*$F$27)/3.5)*N8)+(((($I$27/6)*$F$27)/3.5)*N8)*0.1</f>
        <v>16.5</v>
      </c>
    </row>
    <row r="28" spans="1:14" ht="15" x14ac:dyDescent="0.3">
      <c r="A28" s="1"/>
      <c r="B28" s="1" t="s">
        <v>42</v>
      </c>
      <c r="C28" s="1"/>
      <c r="D28" s="1"/>
      <c r="E28" s="1"/>
      <c r="F28" s="1"/>
      <c r="G28" s="1"/>
      <c r="H28" s="1"/>
      <c r="I28" s="1"/>
      <c r="J28" s="1"/>
      <c r="K28" s="50">
        <v>0</v>
      </c>
      <c r="L28" s="50">
        <v>0</v>
      </c>
      <c r="M28" s="50">
        <v>0</v>
      </c>
      <c r="N28" s="54">
        <v>0</v>
      </c>
    </row>
    <row r="29" spans="1:14" ht="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51"/>
      <c r="L29" s="51"/>
      <c r="M29" s="51"/>
      <c r="N29" s="52"/>
    </row>
    <row r="30" spans="1:14" ht="13" x14ac:dyDescent="0.3">
      <c r="A30" s="10" t="s">
        <v>14</v>
      </c>
      <c r="B30" s="1"/>
      <c r="C30" s="1"/>
      <c r="D30" s="1"/>
      <c r="E30" s="1"/>
      <c r="F30" s="12" t="s">
        <v>15</v>
      </c>
      <c r="G30" s="1"/>
      <c r="H30" s="1"/>
      <c r="I30" s="1"/>
      <c r="J30" s="1"/>
      <c r="K30" s="48">
        <f>SUM(K16:K29)</f>
        <v>90.479322617832565</v>
      </c>
      <c r="L30" s="48">
        <f>SUM(L16:L29)</f>
        <v>125.86124912882158</v>
      </c>
      <c r="M30" s="48">
        <f>SUM(M16:M29)</f>
        <v>186.01419212332709</v>
      </c>
      <c r="N30" s="49">
        <f>SUM(N16:N28)</f>
        <v>188.37133498046995</v>
      </c>
    </row>
    <row r="31" spans="1:14" ht="13" x14ac:dyDescent="0.3">
      <c r="A31" s="1"/>
      <c r="B31" s="1"/>
      <c r="C31" s="1"/>
      <c r="D31" s="1"/>
      <c r="E31" s="1"/>
      <c r="F31" s="12" t="s">
        <v>16</v>
      </c>
      <c r="G31" s="1"/>
      <c r="H31" s="1"/>
      <c r="I31" s="1"/>
      <c r="J31" s="1"/>
      <c r="K31" s="48">
        <f>+K30/K8</f>
        <v>45.239661308916283</v>
      </c>
      <c r="L31" s="48">
        <f>+L30/L8</f>
        <v>41.953749709607195</v>
      </c>
      <c r="M31" s="48">
        <f>+M30/M8</f>
        <v>31.00236535388785</v>
      </c>
      <c r="N31" s="49">
        <f>+N30/N8</f>
        <v>26.910190711495709</v>
      </c>
    </row>
    <row r="32" spans="1:14" ht="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48"/>
      <c r="L32" s="48"/>
      <c r="M32" s="48"/>
      <c r="N32" s="42"/>
    </row>
    <row r="33" spans="1:14" ht="13" x14ac:dyDescent="0.3">
      <c r="A33" s="10" t="s">
        <v>17</v>
      </c>
      <c r="B33" s="1"/>
      <c r="C33" s="1"/>
      <c r="D33" s="1"/>
      <c r="E33" s="1"/>
      <c r="F33" s="1"/>
      <c r="G33" s="1"/>
      <c r="H33" s="1"/>
      <c r="I33" s="1"/>
      <c r="J33" s="1"/>
      <c r="K33" s="48"/>
      <c r="L33" s="48"/>
      <c r="M33" s="48"/>
      <c r="N33" s="42"/>
    </row>
    <row r="34" spans="1:14" ht="15" x14ac:dyDescent="0.3">
      <c r="A34" s="1"/>
      <c r="B34" s="1" t="s">
        <v>43</v>
      </c>
      <c r="C34" s="1"/>
      <c r="D34" s="1"/>
      <c r="E34" s="1"/>
      <c r="F34" s="45">
        <v>2</v>
      </c>
      <c r="G34" s="1" t="s">
        <v>18</v>
      </c>
      <c r="H34" s="1"/>
      <c r="I34" s="141">
        <v>15</v>
      </c>
      <c r="J34" s="1" t="s">
        <v>19</v>
      </c>
      <c r="K34" s="48">
        <f>+$F$34*$I$34</f>
        <v>30</v>
      </c>
      <c r="L34" s="48">
        <f>+$F$34*$I$34</f>
        <v>30</v>
      </c>
      <c r="M34" s="48">
        <f>+$F$34*$I$34</f>
        <v>30</v>
      </c>
      <c r="N34" s="49">
        <f>+$F$34*$I$34</f>
        <v>30</v>
      </c>
    </row>
    <row r="35" spans="1:14" ht="13" x14ac:dyDescent="0.3">
      <c r="A35" s="1"/>
      <c r="B35" s="1" t="s">
        <v>20</v>
      </c>
      <c r="C35" s="1"/>
      <c r="D35" s="1"/>
      <c r="E35" s="1"/>
      <c r="F35" s="55">
        <v>0.05</v>
      </c>
      <c r="G35" s="1" t="s">
        <v>21</v>
      </c>
      <c r="H35" s="1"/>
      <c r="I35" s="1"/>
      <c r="J35" s="1"/>
      <c r="K35" s="114">
        <f>$F$35*K11</f>
        <v>6.9</v>
      </c>
      <c r="L35" s="114">
        <f>$F$35*L11</f>
        <v>10.350000000000001</v>
      </c>
      <c r="M35" s="114">
        <f>$F$35*M11</f>
        <v>20.700000000000003</v>
      </c>
      <c r="N35" s="117">
        <f>$F$35*N11</f>
        <v>24.150000000000002</v>
      </c>
    </row>
    <row r="36" spans="1:14" ht="15" x14ac:dyDescent="0.3">
      <c r="A36" s="1"/>
      <c r="B36" s="1" t="s">
        <v>44</v>
      </c>
      <c r="C36" s="1"/>
      <c r="D36" s="1"/>
      <c r="E36" s="1"/>
      <c r="F36" s="1"/>
      <c r="G36" s="1"/>
      <c r="H36" s="1"/>
      <c r="I36" s="1"/>
      <c r="J36" s="1"/>
      <c r="K36" s="48">
        <f>+$I$95</f>
        <v>70.127382812500002</v>
      </c>
      <c r="L36" s="48">
        <f>+$I$95</f>
        <v>70.127382812500002</v>
      </c>
      <c r="M36" s="48">
        <f>+$I$95</f>
        <v>70.127382812500002</v>
      </c>
      <c r="N36" s="49">
        <f>+$I$95</f>
        <v>70.127382812500002</v>
      </c>
    </row>
    <row r="37" spans="1:14" ht="14.5" x14ac:dyDescent="0.25">
      <c r="A37" s="1"/>
      <c r="B37" s="1" t="s">
        <v>45</v>
      </c>
      <c r="C37" s="1"/>
      <c r="D37" s="1"/>
      <c r="E37" s="1"/>
      <c r="F37" s="1"/>
      <c r="G37" s="1"/>
      <c r="H37" s="1"/>
      <c r="I37" s="1"/>
      <c r="J37" s="1"/>
      <c r="K37" s="48">
        <v>15.6</v>
      </c>
      <c r="L37" s="48">
        <v>15.6</v>
      </c>
      <c r="M37" s="48">
        <v>15.6</v>
      </c>
      <c r="N37" s="48">
        <v>15.6</v>
      </c>
    </row>
    <row r="38" spans="1:14" ht="15" x14ac:dyDescent="0.3">
      <c r="A38" s="1"/>
      <c r="B38" s="1" t="s">
        <v>46</v>
      </c>
      <c r="C38" s="1"/>
      <c r="D38" s="1"/>
      <c r="E38" s="1"/>
      <c r="F38" s="1"/>
      <c r="G38" s="1"/>
      <c r="H38" s="1"/>
      <c r="I38" s="1"/>
      <c r="J38" s="1"/>
      <c r="K38" s="48">
        <v>62</v>
      </c>
      <c r="L38" s="48">
        <v>78</v>
      </c>
      <c r="M38" s="48">
        <v>94</v>
      </c>
      <c r="N38" s="53">
        <v>94</v>
      </c>
    </row>
    <row r="39" spans="1:14" ht="13" x14ac:dyDescent="0.3">
      <c r="A39" s="1"/>
      <c r="B39" s="1"/>
      <c r="C39" s="1"/>
      <c r="D39" s="1"/>
      <c r="E39" s="1"/>
      <c r="F39" s="116"/>
      <c r="G39" s="1"/>
      <c r="H39" s="1"/>
      <c r="I39" s="1"/>
      <c r="J39" s="1"/>
      <c r="K39" s="50"/>
      <c r="L39" s="50"/>
      <c r="M39" s="50"/>
      <c r="N39" s="122"/>
    </row>
    <row r="40" spans="1:14" ht="1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51"/>
      <c r="L40" s="51"/>
      <c r="M40" s="51"/>
      <c r="N40" s="52"/>
    </row>
    <row r="41" spans="1:14" ht="13" x14ac:dyDescent="0.3">
      <c r="A41" s="10" t="s">
        <v>22</v>
      </c>
      <c r="B41" s="1"/>
      <c r="C41" s="1"/>
      <c r="D41" s="1"/>
      <c r="E41" s="1"/>
      <c r="F41" s="1"/>
      <c r="G41" s="1"/>
      <c r="H41" s="1"/>
      <c r="I41" s="1"/>
      <c r="J41" s="1"/>
      <c r="K41" s="48">
        <f>SUM(K34:K40)</f>
        <v>184.6273828125</v>
      </c>
      <c r="L41" s="48">
        <f>SUM(L34:L40)</f>
        <v>204.07738281249999</v>
      </c>
      <c r="M41" s="48">
        <f>SUM(M34:M40)</f>
        <v>230.42738281250001</v>
      </c>
      <c r="N41" s="49">
        <f>SUM(N34:N40)</f>
        <v>233.8773828125</v>
      </c>
    </row>
    <row r="42" spans="1:14" ht="1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48"/>
      <c r="L42" s="48"/>
      <c r="M42" s="48"/>
      <c r="N42" s="42"/>
    </row>
    <row r="43" spans="1:14" ht="13" x14ac:dyDescent="0.3">
      <c r="A43" s="10" t="s">
        <v>23</v>
      </c>
      <c r="B43" s="1"/>
      <c r="C43" s="1"/>
      <c r="D43" s="1"/>
      <c r="E43" s="1"/>
      <c r="F43" s="13" t="s">
        <v>15</v>
      </c>
      <c r="G43" s="1"/>
      <c r="H43" s="1"/>
      <c r="I43" s="1"/>
      <c r="J43" s="1"/>
      <c r="K43" s="48">
        <f>+K30+K41</f>
        <v>275.10670543033257</v>
      </c>
      <c r="L43" s="48">
        <f>+L30+L41</f>
        <v>329.93863194132155</v>
      </c>
      <c r="M43" s="48">
        <f>+M30+M41</f>
        <v>416.44157493582713</v>
      </c>
      <c r="N43" s="49">
        <f>+N30+N41</f>
        <v>422.24871779296996</v>
      </c>
    </row>
    <row r="44" spans="1:14" ht="13" x14ac:dyDescent="0.3">
      <c r="A44" s="10"/>
      <c r="B44" s="1"/>
      <c r="C44" s="1"/>
      <c r="D44" s="1"/>
      <c r="E44" s="1"/>
      <c r="F44" s="13" t="s">
        <v>16</v>
      </c>
      <c r="G44" s="1"/>
      <c r="H44" s="1"/>
      <c r="I44" s="1"/>
      <c r="J44" s="1"/>
      <c r="K44" s="48">
        <f>+K43/K8</f>
        <v>137.55335271516628</v>
      </c>
      <c r="L44" s="48">
        <f>+L43/L8</f>
        <v>109.97954398044051</v>
      </c>
      <c r="M44" s="48">
        <f>+M43/M8</f>
        <v>69.406929155971184</v>
      </c>
      <c r="N44" s="49">
        <f>+N43/N8</f>
        <v>60.321245398995707</v>
      </c>
    </row>
    <row r="45" spans="1:14" ht="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48"/>
      <c r="L45" s="48"/>
      <c r="M45" s="48"/>
      <c r="N45" s="42"/>
    </row>
    <row r="46" spans="1:14" ht="15" x14ac:dyDescent="0.3">
      <c r="A46" s="10" t="s">
        <v>80</v>
      </c>
      <c r="B46" s="1"/>
      <c r="C46" s="1"/>
      <c r="D46" s="1"/>
      <c r="E46" s="1"/>
      <c r="F46" s="1"/>
      <c r="G46" s="1"/>
      <c r="H46" s="1"/>
      <c r="I46" s="1"/>
      <c r="J46" s="1"/>
      <c r="K46" s="48">
        <f>+K49+K34+K35</f>
        <v>-100.20670543033256</v>
      </c>
      <c r="L46" s="48">
        <f>+L49+L34+L35</f>
        <v>-82.588631941321552</v>
      </c>
      <c r="M46" s="48">
        <f>+M49+M34+M35</f>
        <v>48.258425064172869</v>
      </c>
      <c r="N46" s="48">
        <f>+N49+N34+N35</f>
        <v>114.90128220703005</v>
      </c>
    </row>
    <row r="47" spans="1:14" ht="13" x14ac:dyDescent="0.3">
      <c r="A47" s="5" t="s">
        <v>70</v>
      </c>
      <c r="B47" s="115"/>
      <c r="C47" s="115"/>
      <c r="D47" s="1"/>
      <c r="E47" s="1"/>
      <c r="F47" s="1"/>
      <c r="G47" s="1"/>
      <c r="H47" s="1"/>
      <c r="I47" s="1"/>
      <c r="J47" s="1"/>
      <c r="K47" s="48">
        <f>K49+K38</f>
        <v>-75.106705430332568</v>
      </c>
      <c r="L47" s="48">
        <f>L49+L38</f>
        <v>-44.938631941321546</v>
      </c>
      <c r="M47" s="48">
        <f>M49+M38</f>
        <v>91.558425064172866</v>
      </c>
      <c r="N47" s="48">
        <f>N49+N38</f>
        <v>154.75128220703004</v>
      </c>
    </row>
    <row r="48" spans="1:14" ht="13" x14ac:dyDescent="0.3">
      <c r="A48" s="10" t="s">
        <v>24</v>
      </c>
      <c r="B48" s="1"/>
      <c r="C48" s="1"/>
      <c r="D48" s="1"/>
      <c r="E48" s="1"/>
      <c r="F48" s="1"/>
      <c r="G48" s="1"/>
      <c r="H48" s="1"/>
      <c r="I48" s="1"/>
      <c r="J48" s="1"/>
      <c r="K48" s="48">
        <f>+K11-K30</f>
        <v>47.520677382167435</v>
      </c>
      <c r="L48" s="48">
        <f>+L11-L30</f>
        <v>81.138750871178416</v>
      </c>
      <c r="M48" s="48">
        <f>+M11-M30</f>
        <v>227.98580787667291</v>
      </c>
      <c r="N48" s="48">
        <f>+N11-N30</f>
        <v>294.62866501953005</v>
      </c>
    </row>
    <row r="49" spans="1:17" ht="13" x14ac:dyDescent="0.3">
      <c r="A49" s="5" t="s">
        <v>25</v>
      </c>
      <c r="B49" s="115"/>
      <c r="C49" s="115"/>
      <c r="D49" s="1"/>
      <c r="E49" s="1"/>
      <c r="F49" s="1"/>
      <c r="G49" s="1"/>
      <c r="H49" s="1"/>
      <c r="I49" s="1"/>
      <c r="J49" s="1"/>
      <c r="K49" s="2">
        <f>K11-K43</f>
        <v>-137.10670543033257</v>
      </c>
      <c r="L49" s="2">
        <f>L11-L43</f>
        <v>-122.93863194132155</v>
      </c>
      <c r="M49" s="2">
        <f>M11-M43</f>
        <v>-2.4415749358271341</v>
      </c>
      <c r="N49" s="2">
        <f>N11-N43</f>
        <v>60.751282207030044</v>
      </c>
    </row>
    <row r="50" spans="1:17" s="15" customFormat="1" ht="4.5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4"/>
      <c r="L50" s="14"/>
      <c r="M50" s="14"/>
      <c r="N50" s="11"/>
    </row>
    <row r="51" spans="1:17" ht="12" customHeight="1" x14ac:dyDescent="0.25">
      <c r="A51" s="136" t="s">
        <v>129</v>
      </c>
      <c r="B51" s="1"/>
      <c r="C51" s="142"/>
      <c r="D51" s="129"/>
      <c r="E51" s="1"/>
      <c r="F51" s="1"/>
      <c r="G51" s="1"/>
      <c r="H51" s="1"/>
      <c r="I51" s="1"/>
      <c r="J51" s="1"/>
      <c r="K51" s="2"/>
      <c r="L51" s="2"/>
      <c r="M51" s="2"/>
      <c r="N51" s="1"/>
    </row>
    <row r="52" spans="1:17" ht="12" customHeight="1" x14ac:dyDescent="0.25">
      <c r="A52" s="1"/>
      <c r="B52" s="1" t="s">
        <v>63</v>
      </c>
      <c r="C52" s="1"/>
      <c r="D52" s="1"/>
      <c r="E52" s="1"/>
      <c r="F52" s="1"/>
      <c r="G52" s="1"/>
      <c r="H52" s="1"/>
      <c r="I52" s="1"/>
      <c r="J52" s="1"/>
      <c r="K52" s="2"/>
      <c r="L52" s="2"/>
      <c r="M52" s="2"/>
      <c r="N52" s="1"/>
    </row>
    <row r="53" spans="1:17" ht="12" customHeight="1" x14ac:dyDescent="0.25">
      <c r="A53" s="136" t="s">
        <v>130</v>
      </c>
      <c r="B53" s="1"/>
      <c r="C53" s="143"/>
      <c r="D53" s="130"/>
      <c r="E53" s="126"/>
      <c r="F53" s="1"/>
      <c r="G53" s="1"/>
      <c r="H53" s="1"/>
      <c r="I53" s="1"/>
      <c r="J53" s="1"/>
      <c r="K53" s="2"/>
      <c r="L53" s="2"/>
      <c r="M53" s="2"/>
      <c r="N53" s="1"/>
    </row>
    <row r="54" spans="1:17" ht="12" customHeight="1" x14ac:dyDescent="0.25">
      <c r="A54" s="1"/>
      <c r="B54" s="1" t="s">
        <v>64</v>
      </c>
      <c r="C54" s="1"/>
      <c r="D54" s="126"/>
      <c r="E54" s="126"/>
      <c r="F54" s="1"/>
      <c r="G54" s="1"/>
      <c r="H54" s="1"/>
      <c r="I54" s="1"/>
      <c r="J54" s="1"/>
      <c r="K54" s="2"/>
      <c r="L54" s="2"/>
      <c r="M54" s="2"/>
      <c r="N54" s="1"/>
    </row>
    <row r="55" spans="1:17" ht="12" customHeight="1" x14ac:dyDescent="0.25">
      <c r="A55" s="1" t="s">
        <v>65</v>
      </c>
      <c r="B55" s="1"/>
      <c r="C55" s="144"/>
      <c r="D55" s="131"/>
      <c r="E55" s="1"/>
      <c r="F55" s="1"/>
      <c r="G55" s="1"/>
      <c r="H55" s="1"/>
      <c r="I55" s="1"/>
      <c r="J55" s="1"/>
      <c r="K55" s="2"/>
      <c r="L55" s="2"/>
      <c r="M55" s="2"/>
      <c r="N55" s="1"/>
    </row>
    <row r="56" spans="1:17" ht="12" customHeight="1" x14ac:dyDescent="0.25">
      <c r="A56" s="16">
        <v>1</v>
      </c>
      <c r="B56" s="1" t="s">
        <v>98</v>
      </c>
      <c r="C56" s="1"/>
      <c r="D56" s="1"/>
      <c r="E56" s="1"/>
      <c r="F56" s="1"/>
      <c r="G56" s="1"/>
      <c r="H56" s="1"/>
      <c r="I56" s="1"/>
      <c r="J56" s="1"/>
      <c r="K56" s="2"/>
      <c r="L56" s="2"/>
      <c r="M56" s="2"/>
      <c r="N56" s="1"/>
    </row>
    <row r="57" spans="1:17" ht="12" customHeight="1" x14ac:dyDescent="0.25">
      <c r="A57" s="16"/>
      <c r="B57" s="1"/>
      <c r="C57" s="1" t="s">
        <v>97</v>
      </c>
      <c r="D57" s="1"/>
      <c r="E57" s="1"/>
      <c r="F57" s="1"/>
      <c r="G57" s="1"/>
      <c r="H57" s="1"/>
      <c r="I57" s="1"/>
      <c r="J57" s="1"/>
      <c r="K57" s="2"/>
      <c r="L57" s="2"/>
      <c r="M57" s="2"/>
      <c r="N57" s="1"/>
    </row>
    <row r="58" spans="1:17" ht="14.5" x14ac:dyDescent="0.25">
      <c r="A58" s="16">
        <v>2</v>
      </c>
      <c r="B58" s="136" t="s">
        <v>131</v>
      </c>
      <c r="C58" s="1"/>
      <c r="D58" s="1"/>
      <c r="E58" s="1"/>
      <c r="F58" s="1"/>
      <c r="G58" s="1"/>
      <c r="H58" s="1"/>
      <c r="I58" s="1"/>
      <c r="J58" s="1"/>
      <c r="K58" s="2"/>
      <c r="L58" s="2"/>
      <c r="M58" s="2"/>
      <c r="O58" s="1"/>
      <c r="P58" s="1"/>
      <c r="Q58" s="2"/>
    </row>
    <row r="59" spans="1:17" x14ac:dyDescent="0.25">
      <c r="A59" s="1"/>
      <c r="C59" s="1" t="s">
        <v>61</v>
      </c>
      <c r="D59" s="1"/>
      <c r="E59" s="1"/>
      <c r="F59" s="1"/>
      <c r="G59" s="1"/>
      <c r="H59" s="1"/>
      <c r="I59" s="1"/>
      <c r="J59" s="1"/>
      <c r="K59" s="2"/>
      <c r="L59" s="2"/>
      <c r="M59" s="2"/>
      <c r="N59" s="1"/>
      <c r="O59" s="1"/>
      <c r="P59" s="2"/>
      <c r="Q59" s="1"/>
    </row>
    <row r="60" spans="1:17" ht="13.5" customHeight="1" x14ac:dyDescent="0.25">
      <c r="A60" s="16">
        <v>3</v>
      </c>
      <c r="B60" s="1" t="s">
        <v>105</v>
      </c>
      <c r="C60" s="1"/>
      <c r="D60" s="1"/>
      <c r="E60" s="1"/>
      <c r="F60" s="1"/>
      <c r="G60" s="1"/>
      <c r="H60" s="1"/>
      <c r="I60" s="1"/>
      <c r="J60" s="1"/>
      <c r="K60" s="2"/>
      <c r="L60" s="2"/>
      <c r="M60" s="2"/>
      <c r="N60" s="1"/>
    </row>
    <row r="61" spans="1:17" ht="12.75" customHeight="1" x14ac:dyDescent="0.25">
      <c r="A61" s="16">
        <v>4</v>
      </c>
      <c r="B61" s="135" t="s">
        <v>119</v>
      </c>
      <c r="C61" s="1"/>
      <c r="D61" s="1"/>
      <c r="E61" s="126"/>
      <c r="F61" s="1"/>
      <c r="G61" s="1"/>
      <c r="H61" s="1"/>
      <c r="I61" s="1"/>
      <c r="J61" s="1"/>
      <c r="K61" s="2"/>
      <c r="L61" s="2"/>
      <c r="M61" s="2"/>
      <c r="N61" s="1"/>
    </row>
    <row r="62" spans="1:17" ht="15" customHeight="1" x14ac:dyDescent="0.25">
      <c r="A62" s="16">
        <v>5</v>
      </c>
      <c r="B62" s="1" t="s">
        <v>106</v>
      </c>
      <c r="C62" s="1"/>
      <c r="D62" s="1"/>
      <c r="E62" s="1"/>
      <c r="F62" s="1"/>
      <c r="G62" s="1"/>
      <c r="H62" s="1"/>
      <c r="I62" s="1"/>
      <c r="J62" s="1"/>
      <c r="K62" s="2"/>
      <c r="L62" s="2"/>
      <c r="M62" s="2"/>
      <c r="N62" s="1"/>
    </row>
    <row r="63" spans="1:17" ht="12" customHeight="1" x14ac:dyDescent="0.25">
      <c r="A63" s="16"/>
      <c r="B63" s="1"/>
      <c r="C63" s="1" t="s">
        <v>81</v>
      </c>
      <c r="D63" s="1"/>
      <c r="E63" s="1"/>
      <c r="F63" s="1"/>
      <c r="G63" s="1"/>
      <c r="H63" s="1"/>
      <c r="I63" s="1"/>
      <c r="J63" s="1"/>
      <c r="K63" s="2"/>
      <c r="L63" s="2"/>
      <c r="M63" s="2"/>
      <c r="N63" s="1"/>
    </row>
    <row r="64" spans="1:17" ht="12" customHeight="1" x14ac:dyDescent="0.25">
      <c r="A64" s="16"/>
      <c r="B64" s="1"/>
      <c r="C64" s="25" t="s">
        <v>132</v>
      </c>
      <c r="D64" s="25"/>
      <c r="E64" s="25"/>
      <c r="F64" s="57">
        <v>280</v>
      </c>
      <c r="G64" s="83" t="s">
        <v>67</v>
      </c>
      <c r="H64" s="25"/>
      <c r="I64" s="57">
        <v>480</v>
      </c>
      <c r="J64" s="83" t="s">
        <v>68</v>
      </c>
      <c r="K64" s="83"/>
      <c r="L64" s="84"/>
      <c r="M64" s="85">
        <v>330</v>
      </c>
      <c r="N64" s="86" t="s">
        <v>7</v>
      </c>
    </row>
    <row r="65" spans="1:14" x14ac:dyDescent="0.25">
      <c r="B65" s="1" t="s">
        <v>90</v>
      </c>
      <c r="C65" s="1"/>
      <c r="D65" s="1"/>
      <c r="E65" s="1"/>
      <c r="F65" s="1"/>
      <c r="G65" s="1"/>
      <c r="H65" s="1"/>
      <c r="I65" s="1"/>
      <c r="J65" s="1"/>
      <c r="K65" s="2"/>
      <c r="L65" s="2"/>
      <c r="M65" s="2"/>
      <c r="N65" s="1"/>
    </row>
    <row r="66" spans="1:14" ht="14.5" x14ac:dyDescent="0.25">
      <c r="A66" s="16">
        <v>6</v>
      </c>
      <c r="B66" s="1" t="s">
        <v>58</v>
      </c>
      <c r="K66" s="17"/>
      <c r="L66" s="17"/>
      <c r="M66" s="17"/>
    </row>
    <row r="67" spans="1:14" ht="14.5" x14ac:dyDescent="0.25">
      <c r="A67" s="16">
        <v>7</v>
      </c>
      <c r="B67" s="1" t="s">
        <v>26</v>
      </c>
      <c r="K67" s="17"/>
      <c r="L67" s="17"/>
      <c r="M67" s="17"/>
    </row>
    <row r="68" spans="1:14" ht="14.5" x14ac:dyDescent="0.25">
      <c r="A68" s="16">
        <v>8</v>
      </c>
      <c r="B68" s="1" t="s">
        <v>107</v>
      </c>
      <c r="C68" s="1"/>
      <c r="D68" s="1"/>
      <c r="E68" s="1"/>
      <c r="F68" s="1"/>
      <c r="G68" s="1"/>
      <c r="H68" s="1"/>
      <c r="I68" s="1"/>
      <c r="J68" s="1"/>
      <c r="K68" s="2"/>
      <c r="L68" s="2"/>
      <c r="M68" s="2"/>
      <c r="N68" s="1"/>
    </row>
    <row r="69" spans="1:14" ht="14.5" x14ac:dyDescent="0.25">
      <c r="A69" s="16">
        <v>9</v>
      </c>
      <c r="B69" s="135" t="s">
        <v>120</v>
      </c>
      <c r="C69" s="1"/>
      <c r="D69" s="126"/>
      <c r="E69" s="1"/>
      <c r="F69" s="1"/>
      <c r="G69" s="1"/>
      <c r="H69" s="1"/>
      <c r="I69" s="1"/>
      <c r="J69" s="1"/>
      <c r="K69" s="2"/>
      <c r="L69" s="2"/>
      <c r="M69" s="2"/>
      <c r="N69" s="1"/>
    </row>
    <row r="70" spans="1:14" ht="14.5" x14ac:dyDescent="0.25">
      <c r="A70" s="16"/>
      <c r="B70" s="126" t="s">
        <v>94</v>
      </c>
      <c r="C70" s="126"/>
      <c r="D70" s="126"/>
      <c r="E70" s="126"/>
      <c r="F70" s="126"/>
      <c r="G70" s="126"/>
      <c r="H70" s="126"/>
      <c r="I70" s="126"/>
      <c r="J70" s="126"/>
      <c r="K70" s="127"/>
      <c r="L70" s="2"/>
      <c r="M70" s="2"/>
      <c r="N70" s="1"/>
    </row>
    <row r="71" spans="1:14" ht="14.5" x14ac:dyDescent="0.25">
      <c r="A71" s="16">
        <v>10</v>
      </c>
      <c r="B71" s="1" t="s">
        <v>27</v>
      </c>
      <c r="C71" s="1"/>
      <c r="D71" s="1"/>
      <c r="E71" s="1"/>
      <c r="F71" s="1"/>
      <c r="G71" s="1"/>
      <c r="H71" s="1"/>
      <c r="I71" s="1"/>
      <c r="J71" s="1"/>
      <c r="K71" s="2"/>
      <c r="L71" s="2"/>
      <c r="M71" s="2"/>
      <c r="N71" s="1"/>
    </row>
    <row r="72" spans="1:14" ht="14.5" x14ac:dyDescent="0.25">
      <c r="A72" s="16"/>
      <c r="C72" s="1" t="s">
        <v>82</v>
      </c>
      <c r="D72" s="1"/>
      <c r="E72" s="1"/>
      <c r="F72" s="1"/>
      <c r="G72" s="1"/>
      <c r="H72" s="1"/>
      <c r="I72" s="1"/>
      <c r="J72" s="1"/>
      <c r="K72" s="2"/>
      <c r="L72" s="2"/>
      <c r="M72" s="2"/>
      <c r="N72" s="1"/>
    </row>
    <row r="73" spans="1:14" ht="14.5" x14ac:dyDescent="0.25">
      <c r="A73" s="16">
        <v>11</v>
      </c>
      <c r="B73" s="1" t="s">
        <v>99</v>
      </c>
      <c r="C73" s="1"/>
      <c r="D73" s="1"/>
      <c r="E73" s="1"/>
      <c r="F73" s="1"/>
      <c r="G73" s="1"/>
      <c r="H73" s="1"/>
      <c r="I73" s="1"/>
      <c r="J73" s="1"/>
      <c r="K73" s="2"/>
      <c r="L73" s="2"/>
      <c r="M73" s="2"/>
      <c r="N73" s="1"/>
    </row>
    <row r="74" spans="1:14" ht="14.5" x14ac:dyDescent="0.25">
      <c r="A74" s="16">
        <v>12</v>
      </c>
      <c r="B74" s="136" t="s">
        <v>108</v>
      </c>
      <c r="C74" s="136"/>
      <c r="D74" s="1"/>
      <c r="E74" s="1"/>
      <c r="F74" s="1"/>
      <c r="G74" s="1"/>
      <c r="H74" s="1"/>
      <c r="I74" s="1"/>
      <c r="J74" s="1"/>
      <c r="K74" s="2"/>
      <c r="L74" s="2"/>
      <c r="M74" s="2"/>
      <c r="N74" s="1"/>
    </row>
    <row r="75" spans="1:14" ht="14.5" x14ac:dyDescent="0.25">
      <c r="A75" s="16"/>
      <c r="B75" s="136"/>
      <c r="C75" s="136" t="s">
        <v>124</v>
      </c>
      <c r="D75" s="1"/>
      <c r="E75" s="1"/>
      <c r="F75" s="1"/>
      <c r="G75" s="1"/>
      <c r="H75" s="1"/>
      <c r="I75" s="1"/>
      <c r="J75" s="1"/>
      <c r="K75" s="2"/>
      <c r="L75" s="2"/>
      <c r="M75" s="2"/>
      <c r="N75" s="1"/>
    </row>
    <row r="76" spans="1:14" ht="14.5" x14ac:dyDescent="0.25">
      <c r="A76" s="16"/>
      <c r="B76" s="136"/>
      <c r="C76" s="136" t="s">
        <v>125</v>
      </c>
      <c r="D76" s="1"/>
      <c r="E76" s="1"/>
      <c r="F76" s="1"/>
      <c r="G76" s="1"/>
      <c r="H76" s="1"/>
      <c r="I76" s="1"/>
      <c r="J76" s="1"/>
      <c r="K76" s="2"/>
      <c r="L76" s="2"/>
      <c r="M76" s="2"/>
      <c r="N76" s="1"/>
    </row>
    <row r="77" spans="1:14" ht="14.5" x14ac:dyDescent="0.25">
      <c r="A77" s="16"/>
      <c r="B77" s="136"/>
      <c r="C77" s="136" t="s">
        <v>136</v>
      </c>
      <c r="D77" s="1"/>
      <c r="E77" s="1"/>
      <c r="F77" s="1"/>
      <c r="G77" s="1"/>
      <c r="H77" s="1"/>
      <c r="I77" s="1"/>
      <c r="J77" s="1"/>
      <c r="K77" s="2"/>
      <c r="L77" s="2"/>
      <c r="M77" s="2"/>
      <c r="N77" s="1"/>
    </row>
    <row r="78" spans="1:14" ht="14.5" x14ac:dyDescent="0.25">
      <c r="A78" s="16">
        <v>13</v>
      </c>
      <c r="B78" s="1" t="s">
        <v>100</v>
      </c>
      <c r="C78" s="1"/>
      <c r="D78" s="1"/>
      <c r="E78" s="1"/>
      <c r="F78" s="1"/>
      <c r="G78" s="1"/>
      <c r="H78" s="1"/>
      <c r="I78" s="1"/>
      <c r="J78" s="1"/>
      <c r="K78" s="2"/>
      <c r="L78" s="2"/>
      <c r="M78" s="2"/>
      <c r="N78" s="1"/>
    </row>
    <row r="79" spans="1:14" ht="14.5" x14ac:dyDescent="0.25">
      <c r="A79" s="16"/>
      <c r="B79" s="1"/>
      <c r="C79" s="1" t="s">
        <v>109</v>
      </c>
      <c r="D79" s="1"/>
      <c r="E79" s="1"/>
      <c r="F79" s="1"/>
      <c r="G79" s="1"/>
      <c r="H79" s="1"/>
      <c r="I79" s="1"/>
      <c r="J79" s="1"/>
      <c r="K79" s="2"/>
      <c r="L79" s="2"/>
      <c r="M79" s="2"/>
      <c r="N79" s="1"/>
    </row>
    <row r="80" spans="1:14" ht="14.5" x14ac:dyDescent="0.25">
      <c r="A80" s="16"/>
      <c r="C80" s="1" t="s">
        <v>101</v>
      </c>
      <c r="D80" s="1"/>
      <c r="E80" s="1"/>
      <c r="F80" s="1"/>
      <c r="G80" s="1"/>
      <c r="H80" s="1"/>
      <c r="I80" s="1"/>
      <c r="J80" s="1"/>
      <c r="K80" s="2"/>
      <c r="L80" s="2"/>
      <c r="M80" s="2"/>
      <c r="N80" s="1"/>
    </row>
    <row r="81" spans="1:17" ht="14.5" x14ac:dyDescent="0.25">
      <c r="A81" s="16">
        <v>14</v>
      </c>
      <c r="B81" s="1" t="s">
        <v>28</v>
      </c>
      <c r="C81" s="1"/>
      <c r="K81" s="17"/>
      <c r="L81" s="17"/>
      <c r="M81" s="17"/>
    </row>
    <row r="82" spans="1:17" x14ac:dyDescent="0.25">
      <c r="B82" s="1"/>
      <c r="C82" s="1" t="s">
        <v>29</v>
      </c>
      <c r="K82" s="17"/>
      <c r="L82" s="17"/>
      <c r="M82" s="17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2"/>
      <c r="N83" s="1"/>
    </row>
    <row r="84" spans="1:17" ht="13" x14ac:dyDescent="0.3">
      <c r="A84" s="147" t="s">
        <v>30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"/>
      <c r="Q84" s="1"/>
    </row>
    <row r="85" spans="1:17" ht="30.5" x14ac:dyDescent="0.25">
      <c r="A85" s="25"/>
      <c r="B85" s="25"/>
      <c r="C85" s="25"/>
      <c r="D85" s="26" t="s">
        <v>31</v>
      </c>
      <c r="E85" s="27" t="s">
        <v>47</v>
      </c>
      <c r="F85" s="26" t="s">
        <v>48</v>
      </c>
      <c r="I85" s="27" t="s">
        <v>49</v>
      </c>
      <c r="J85" s="27" t="s">
        <v>50</v>
      </c>
      <c r="K85" s="27" t="s">
        <v>51</v>
      </c>
      <c r="L85" s="90" t="s">
        <v>71</v>
      </c>
      <c r="M85" s="27" t="s">
        <v>32</v>
      </c>
      <c r="N85" s="1"/>
    </row>
    <row r="86" spans="1:17" x14ac:dyDescent="0.25">
      <c r="A86" s="73" t="s">
        <v>110</v>
      </c>
      <c r="B86" s="73"/>
      <c r="C86" s="73"/>
      <c r="D86" s="74">
        <v>3</v>
      </c>
      <c r="E86" s="75">
        <v>32500</v>
      </c>
      <c r="F86" s="76">
        <v>400</v>
      </c>
      <c r="G86" s="77"/>
      <c r="H86" s="77"/>
      <c r="I86" s="78">
        <f>'Machinery Costs'!I2</f>
        <v>7.64892578125</v>
      </c>
      <c r="J86" s="79">
        <v>8.73</v>
      </c>
      <c r="K86" s="100">
        <f>0.38*D86</f>
        <v>1.1400000000000001</v>
      </c>
      <c r="L86" s="112">
        <f>(F86*D86)/J86</f>
        <v>137.45704467353951</v>
      </c>
      <c r="M86" s="100">
        <f>0.64*D86</f>
        <v>1.92</v>
      </c>
      <c r="N86" s="1"/>
    </row>
    <row r="87" spans="1:17" x14ac:dyDescent="0.25">
      <c r="A87" s="57" t="s">
        <v>91</v>
      </c>
      <c r="B87" s="57"/>
      <c r="C87" s="57"/>
      <c r="D87" s="58">
        <v>3</v>
      </c>
      <c r="E87" s="59">
        <v>46500</v>
      </c>
      <c r="F87" s="60">
        <v>400</v>
      </c>
      <c r="I87" s="87">
        <f>'Machinery Costs'!I3</f>
        <v>10.94384765625</v>
      </c>
      <c r="J87" s="65">
        <v>26.18</v>
      </c>
      <c r="K87" s="101">
        <f>0.07*D87</f>
        <v>0.21000000000000002</v>
      </c>
      <c r="L87" s="106">
        <f>(F87*D87)/J87</f>
        <v>45.836516424751721</v>
      </c>
      <c r="M87" s="101">
        <f>0.33*D87</f>
        <v>0.99</v>
      </c>
      <c r="N87" s="1"/>
    </row>
    <row r="88" spans="1:17" x14ac:dyDescent="0.25">
      <c r="A88" s="57" t="s">
        <v>112</v>
      </c>
      <c r="B88" s="57"/>
      <c r="C88" s="57"/>
      <c r="D88" s="58">
        <v>3</v>
      </c>
      <c r="E88" s="59">
        <v>36000</v>
      </c>
      <c r="F88" s="60">
        <v>400</v>
      </c>
      <c r="I88" s="87">
        <f>'Machinery Costs'!I4</f>
        <v>8.47265625</v>
      </c>
      <c r="J88" s="65">
        <v>9.4499999999999993</v>
      </c>
      <c r="K88" s="101">
        <f>0.35*D88</f>
        <v>1.0499999999999998</v>
      </c>
      <c r="L88" s="106">
        <f>(F88*D88)/J88</f>
        <v>126.98412698412699</v>
      </c>
      <c r="M88" s="101">
        <f>3.52*D88</f>
        <v>10.56</v>
      </c>
    </row>
    <row r="89" spans="1:17" x14ac:dyDescent="0.25">
      <c r="A89" s="57" t="s">
        <v>111</v>
      </c>
      <c r="B89" s="57"/>
      <c r="C89" s="57"/>
      <c r="D89" s="58">
        <v>3</v>
      </c>
      <c r="E89" s="59">
        <v>16000</v>
      </c>
      <c r="F89" s="60">
        <v>400</v>
      </c>
      <c r="G89" s="104"/>
      <c r="H89" s="104"/>
      <c r="I89" s="87">
        <f>'Machinery Costs'!I5</f>
        <v>2.69921875</v>
      </c>
      <c r="J89" s="105"/>
      <c r="K89" s="101">
        <f>0.1*D89</f>
        <v>0.30000000000000004</v>
      </c>
      <c r="L89" s="106">
        <f>L88/4</f>
        <v>31.746031746031747</v>
      </c>
      <c r="M89" s="101">
        <f>0.05*D89</f>
        <v>0.15000000000000002</v>
      </c>
    </row>
    <row r="90" spans="1:17" ht="13.5" customHeight="1" x14ac:dyDescent="0.25">
      <c r="A90" s="57" t="s">
        <v>52</v>
      </c>
      <c r="B90" s="57"/>
      <c r="C90" s="57"/>
      <c r="D90" s="58">
        <v>1</v>
      </c>
      <c r="E90" s="59">
        <v>12000</v>
      </c>
      <c r="F90" s="60">
        <v>2000</v>
      </c>
      <c r="I90" s="87">
        <f>'Machinery Costs'!I6</f>
        <v>0.78187499999999999</v>
      </c>
      <c r="J90" s="66">
        <v>34</v>
      </c>
      <c r="K90" s="101">
        <f>0.12*D90</f>
        <v>0.12</v>
      </c>
      <c r="L90" s="106">
        <f>(F90*D90)/J90</f>
        <v>58.823529411764703</v>
      </c>
      <c r="M90" s="102">
        <f>0.15*D90</f>
        <v>0.15</v>
      </c>
    </row>
    <row r="91" spans="1:17" ht="13.5" customHeight="1" x14ac:dyDescent="0.25">
      <c r="A91" s="57" t="s">
        <v>113</v>
      </c>
      <c r="B91" s="57"/>
      <c r="C91" s="57"/>
      <c r="D91" s="58">
        <v>6</v>
      </c>
      <c r="E91" s="59">
        <v>74000</v>
      </c>
      <c r="F91" s="60">
        <v>400</v>
      </c>
      <c r="I91" s="87">
        <f>'Machinery Costs'!I7</f>
        <v>24.107812500000001</v>
      </c>
      <c r="J91" s="67" t="s">
        <v>62</v>
      </c>
      <c r="K91" s="67" t="s">
        <v>62</v>
      </c>
      <c r="L91" s="106">
        <f>L86+L88</f>
        <v>264.44117165766647</v>
      </c>
      <c r="M91" s="102">
        <f>(L91*2.22)/F86</f>
        <v>1.467648502700049</v>
      </c>
    </row>
    <row r="92" spans="1:17" ht="13.5" customHeight="1" x14ac:dyDescent="0.25">
      <c r="A92" s="57" t="s">
        <v>114</v>
      </c>
      <c r="B92" s="57"/>
      <c r="C92" s="57"/>
      <c r="D92" s="58">
        <v>4</v>
      </c>
      <c r="E92" s="59">
        <v>40000</v>
      </c>
      <c r="F92" s="60">
        <v>400</v>
      </c>
      <c r="I92" s="87">
        <f>'Machinery Costs'!I8</f>
        <v>13.03125</v>
      </c>
      <c r="J92" s="67" t="s">
        <v>62</v>
      </c>
      <c r="K92" s="67" t="s">
        <v>62</v>
      </c>
      <c r="L92" s="106">
        <f>L87+L90</f>
        <v>104.66004583651642</v>
      </c>
      <c r="M92" s="102">
        <f>(L92*1.41)/F86</f>
        <v>0.36892666157372034</v>
      </c>
    </row>
    <row r="93" spans="1:17" ht="13.5" customHeight="1" x14ac:dyDescent="0.25">
      <c r="A93" s="61" t="s">
        <v>53</v>
      </c>
      <c r="B93" s="61"/>
      <c r="C93" s="61"/>
      <c r="D93" s="62">
        <v>3</v>
      </c>
      <c r="E93" s="63">
        <v>35000</v>
      </c>
      <c r="F93" s="64">
        <v>2000</v>
      </c>
      <c r="G93" s="15"/>
      <c r="H93" s="15"/>
      <c r="I93" s="56">
        <f>'Machinery Costs'!I9</f>
        <v>2.4417968750000001</v>
      </c>
      <c r="J93" s="68" t="s">
        <v>62</v>
      </c>
      <c r="K93" s="113">
        <v>0.21</v>
      </c>
      <c r="L93" s="132">
        <f>L89</f>
        <v>31.746031746031747</v>
      </c>
      <c r="M93" s="103">
        <f>0.05*D93</f>
        <v>0.15000000000000002</v>
      </c>
    </row>
    <row r="94" spans="1:17" ht="13.5" customHeight="1" x14ac:dyDescent="0.25">
      <c r="B94" s="25"/>
      <c r="C94" s="25"/>
      <c r="D94" s="30"/>
      <c r="E94" s="28"/>
      <c r="F94" s="28"/>
      <c r="H94" s="31"/>
      <c r="J94" s="32" t="s">
        <v>54</v>
      </c>
      <c r="K94" s="72">
        <f>SUM(K86:K93)*M97</f>
        <v>5.3025000000000002</v>
      </c>
      <c r="M94" s="29"/>
    </row>
    <row r="95" spans="1:17" ht="13" x14ac:dyDescent="0.3">
      <c r="B95" s="33"/>
      <c r="C95" s="33" t="s">
        <v>55</v>
      </c>
      <c r="D95" s="33"/>
      <c r="E95" s="34"/>
      <c r="F95" s="34"/>
      <c r="I95" s="71">
        <f>SUM(I86:I93)</f>
        <v>70.127382812500002</v>
      </c>
      <c r="J95" s="32" t="s">
        <v>56</v>
      </c>
      <c r="K95" s="72">
        <f>(K94*0.1)+K94</f>
        <v>5.8327499999999999</v>
      </c>
      <c r="L95" s="21" t="s">
        <v>57</v>
      </c>
      <c r="M95" s="72">
        <f>SUM(M86:M93)</f>
        <v>15.756575164273771</v>
      </c>
    </row>
    <row r="96" spans="1:17" x14ac:dyDescent="0.25">
      <c r="A96" s="33"/>
      <c r="B96" s="25"/>
      <c r="C96" s="25"/>
      <c r="D96" s="25"/>
      <c r="E96" s="35"/>
      <c r="F96" s="36"/>
      <c r="G96" s="37"/>
      <c r="H96" s="37"/>
      <c r="J96" s="33"/>
      <c r="K96" s="38"/>
      <c r="L96" s="38"/>
      <c r="M96" s="38"/>
    </row>
    <row r="97" spans="1:18" x14ac:dyDescent="0.25">
      <c r="A97" s="25"/>
      <c r="B97" s="33"/>
      <c r="C97" s="33"/>
      <c r="D97" s="33"/>
      <c r="E97" s="39"/>
      <c r="F97" s="39"/>
      <c r="G97" s="39"/>
      <c r="H97" s="39"/>
      <c r="K97" s="41" t="s">
        <v>33</v>
      </c>
      <c r="L97" s="41"/>
      <c r="M97" s="70">
        <v>1.75</v>
      </c>
      <c r="O97" s="19"/>
      <c r="P97" s="19"/>
    </row>
    <row r="98" spans="1:18" ht="13" x14ac:dyDescent="0.3">
      <c r="A98" s="25" t="s">
        <v>83</v>
      </c>
      <c r="B98" s="33"/>
      <c r="C98" s="33"/>
      <c r="D98" s="33"/>
      <c r="E98" s="33"/>
      <c r="F98" s="39"/>
      <c r="G98" s="39"/>
      <c r="H98" s="39"/>
      <c r="I98" s="20"/>
      <c r="J98" s="21"/>
      <c r="K98" s="21"/>
      <c r="M98" s="2"/>
      <c r="O98" s="19"/>
      <c r="P98" s="19"/>
      <c r="Q98" s="25"/>
      <c r="R98" s="25"/>
    </row>
    <row r="99" spans="1:18" ht="13" x14ac:dyDescent="0.3">
      <c r="A99" s="25" t="s">
        <v>84</v>
      </c>
      <c r="B99" s="33"/>
      <c r="C99" s="33"/>
      <c r="D99" s="33"/>
      <c r="E99" s="33"/>
      <c r="F99" s="39"/>
      <c r="G99" s="39"/>
      <c r="H99" s="39"/>
      <c r="I99" s="1"/>
      <c r="J99" s="2"/>
      <c r="K99" s="2"/>
      <c r="L99" s="22"/>
      <c r="M99" s="2"/>
      <c r="N99" s="1"/>
      <c r="O99" s="2"/>
      <c r="Q99" s="25"/>
      <c r="R99" s="25"/>
    </row>
    <row r="100" spans="1:18" x14ac:dyDescent="0.25">
      <c r="A100" s="118" t="s">
        <v>135</v>
      </c>
      <c r="B100" s="33"/>
      <c r="C100" s="33"/>
      <c r="D100" s="33"/>
      <c r="E100" s="33"/>
      <c r="F100" s="39"/>
      <c r="G100" s="39"/>
      <c r="H100" s="39"/>
      <c r="I100" s="39"/>
      <c r="J100" s="37"/>
      <c r="K100" s="33"/>
      <c r="L100" s="2"/>
      <c r="M100" s="2"/>
      <c r="N100" s="1"/>
    </row>
    <row r="101" spans="1:18" x14ac:dyDescent="0.25">
      <c r="A101" s="25" t="s">
        <v>115</v>
      </c>
      <c r="B101" s="25"/>
      <c r="C101" s="25"/>
      <c r="D101" s="25"/>
      <c r="E101" s="25"/>
      <c r="F101" s="80"/>
      <c r="G101" s="80"/>
      <c r="H101" s="80"/>
      <c r="I101" s="1"/>
      <c r="J101" s="1"/>
      <c r="K101" s="2"/>
      <c r="L101" s="2"/>
      <c r="M101" s="2"/>
      <c r="N101" s="1"/>
    </row>
    <row r="102" spans="1:18" x14ac:dyDescent="0.25">
      <c r="A102" s="25" t="s">
        <v>116</v>
      </c>
      <c r="B102" s="25"/>
      <c r="C102" s="25"/>
      <c r="D102" s="25"/>
      <c r="E102" s="25"/>
      <c r="F102" s="25"/>
      <c r="G102" s="25"/>
      <c r="H102" s="25"/>
      <c r="I102" s="1"/>
      <c r="J102" s="1"/>
      <c r="K102" s="2"/>
      <c r="L102" s="2"/>
      <c r="M102" s="2"/>
      <c r="N102" s="1"/>
    </row>
    <row r="103" spans="1:18" x14ac:dyDescent="0.25">
      <c r="A103" s="25" t="s">
        <v>117</v>
      </c>
      <c r="B103" s="25"/>
      <c r="C103" s="25"/>
      <c r="D103" s="25"/>
      <c r="E103" s="69"/>
      <c r="F103" s="69"/>
      <c r="G103" s="69"/>
      <c r="H103" s="69"/>
      <c r="I103" s="1"/>
      <c r="J103" s="1"/>
      <c r="K103" s="2"/>
      <c r="L103" s="2"/>
      <c r="M103" s="2"/>
    </row>
    <row r="104" spans="1:18" x14ac:dyDescent="0.25">
      <c r="A104" s="81" t="s">
        <v>66</v>
      </c>
      <c r="B104" s="25"/>
      <c r="C104" s="82"/>
      <c r="D104" s="25"/>
      <c r="E104" s="69"/>
      <c r="F104" s="69"/>
      <c r="G104" s="69"/>
      <c r="H104" s="69"/>
      <c r="I104" s="1"/>
      <c r="L104" s="2"/>
      <c r="M104" s="2"/>
    </row>
    <row r="105" spans="1:18" x14ac:dyDescent="0.25">
      <c r="A105" s="25" t="s">
        <v>134</v>
      </c>
      <c r="B105" s="25"/>
      <c r="C105" s="25"/>
      <c r="D105" s="25"/>
      <c r="E105" s="25"/>
      <c r="F105" s="25"/>
      <c r="G105" s="25"/>
      <c r="H105" s="25"/>
      <c r="I105" s="1"/>
      <c r="N105" s="1"/>
    </row>
    <row r="106" spans="1:18" x14ac:dyDescent="0.25">
      <c r="A106" s="25" t="s">
        <v>133</v>
      </c>
      <c r="B106" s="25"/>
      <c r="C106" s="25"/>
      <c r="D106" s="25"/>
      <c r="E106" s="25"/>
      <c r="F106" s="25"/>
      <c r="G106" s="25"/>
      <c r="H106" s="25"/>
      <c r="I106" s="1"/>
      <c r="N106" s="1"/>
    </row>
    <row r="107" spans="1:18" x14ac:dyDescent="0.25">
      <c r="A107" s="25" t="s">
        <v>34</v>
      </c>
      <c r="B107" s="25"/>
      <c r="C107" s="25"/>
      <c r="D107" s="25"/>
      <c r="E107" s="25"/>
      <c r="F107" s="25"/>
      <c r="G107" s="25"/>
      <c r="H107" s="25"/>
      <c r="I107" s="1"/>
      <c r="N107" s="1"/>
    </row>
    <row r="108" spans="1:18" x14ac:dyDescent="0.25">
      <c r="A108" s="25" t="s">
        <v>118</v>
      </c>
      <c r="B108" s="25"/>
      <c r="C108" s="25"/>
      <c r="D108" s="25"/>
      <c r="E108" s="25"/>
      <c r="F108" s="25"/>
      <c r="G108" s="25"/>
      <c r="H108" s="25"/>
      <c r="N108" s="1"/>
    </row>
    <row r="109" spans="1:18" x14ac:dyDescent="0.25">
      <c r="A109" s="25"/>
      <c r="B109" s="25"/>
      <c r="C109" s="25"/>
      <c r="D109" s="25"/>
      <c r="E109" s="25"/>
      <c r="F109" s="25"/>
      <c r="G109" s="25"/>
      <c r="H109" s="25"/>
      <c r="N109" s="1"/>
    </row>
    <row r="110" spans="1:18" ht="13" x14ac:dyDescent="0.3">
      <c r="A110" s="128" t="s">
        <v>96</v>
      </c>
      <c r="B110" s="5"/>
      <c r="C110" s="1"/>
      <c r="D110" s="1"/>
      <c r="E110" s="1"/>
      <c r="F110" s="1"/>
      <c r="G110" s="1"/>
      <c r="H110" s="1"/>
      <c r="I110" s="1"/>
      <c r="J110" s="1"/>
      <c r="K110" s="2"/>
      <c r="L110" s="2"/>
      <c r="M110" s="2"/>
      <c r="N110" s="1"/>
    </row>
    <row r="111" spans="1:18" ht="13" x14ac:dyDescent="0.3">
      <c r="A111" s="137" t="s">
        <v>126</v>
      </c>
      <c r="B111" s="5"/>
      <c r="C111" s="25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1"/>
    </row>
    <row r="112" spans="1:18" x14ac:dyDescent="0.25">
      <c r="A112" s="138" t="s">
        <v>127</v>
      </c>
      <c r="B112" s="139"/>
      <c r="C112" s="25"/>
      <c r="D112" s="1"/>
      <c r="E112" s="1"/>
      <c r="F112" s="1"/>
      <c r="G112" s="1"/>
      <c r="H112" s="1"/>
      <c r="I112" s="1"/>
      <c r="J112" s="1"/>
      <c r="K112" s="2"/>
      <c r="L112" s="2"/>
      <c r="M112" s="2"/>
      <c r="N112" s="1"/>
    </row>
    <row r="113" spans="1:14" x14ac:dyDescent="0.25">
      <c r="A113" s="140" t="s">
        <v>128</v>
      </c>
      <c r="B113" s="139"/>
      <c r="C113" s="25"/>
      <c r="D113" s="1"/>
      <c r="E113" s="1"/>
      <c r="F113" s="1"/>
      <c r="G113" s="1"/>
      <c r="H113" s="1"/>
      <c r="I113" s="1"/>
      <c r="J113" s="1"/>
      <c r="K113" s="2"/>
      <c r="L113" s="2"/>
      <c r="M113" s="2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2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2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  <c r="M116" s="2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2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  <c r="M118" s="2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2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  <c r="M120" s="2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2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  <c r="M122" s="2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2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2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  <c r="M126" s="2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2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  <c r="M128" s="2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2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2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2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2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2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  <c r="M134" s="2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2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  <c r="M136" s="2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  <c r="M138" s="2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2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  <c r="M140" s="2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2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  <c r="M142" s="2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2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  <c r="M144" s="2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2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  <c r="M148" s="2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2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  <c r="M150" s="2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2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  <c r="M152" s="2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2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  <c r="M154" s="2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2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  <c r="M156" s="2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2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  <c r="M158" s="2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2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  <c r="M160" s="2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2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  <c r="M162" s="2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2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  <c r="M164" s="2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2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  <c r="M166" s="2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2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  <c r="M168" s="2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2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  <c r="M170" s="2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2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  <c r="M172" s="2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2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  <c r="M174" s="2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2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  <c r="M176" s="2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2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  <c r="M178" s="2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2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  <c r="M180" s="2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2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  <c r="M182" s="2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2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  <c r="M184" s="2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2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  <c r="M186" s="2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2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  <c r="M188" s="2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2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  <c r="M190" s="2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2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  <c r="M192" s="2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2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  <c r="M194" s="2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2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  <c r="M196" s="2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2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  <c r="M198" s="2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2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  <c r="M200" s="2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2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  <c r="M202" s="2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2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  <c r="M204" s="2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2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  <c r="M206" s="2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  <c r="M207" s="2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  <c r="M208" s="2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  <c r="M209" s="2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  <c r="M210" s="2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  <c r="M211" s="2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  <c r="M212" s="2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  <c r="M213" s="2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  <c r="M214" s="2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  <c r="M215" s="2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  <c r="M216" s="2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  <c r="M217" s="2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  <c r="M218" s="2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  <c r="M219" s="2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  <c r="M220" s="2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  <c r="M221" s="2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2"/>
      <c r="M222" s="2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  <c r="M223" s="2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2"/>
      <c r="M224" s="2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  <c r="M225" s="2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  <c r="M226" s="2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  <c r="M227" s="2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2"/>
      <c r="M228" s="2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  <c r="M229" s="2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2"/>
      <c r="M230" s="2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  <c r="M231" s="2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2"/>
      <c r="M232" s="2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  <c r="M233" s="2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2"/>
      <c r="M234" s="2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  <c r="M235" s="2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2"/>
      <c r="M236" s="2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  <c r="M237" s="2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2"/>
      <c r="M238" s="2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  <c r="M239" s="2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2"/>
      <c r="M240" s="2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2"/>
      <c r="M241" s="2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2"/>
      <c r="M242" s="2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2"/>
      <c r="M243" s="2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2"/>
      <c r="M244" s="2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2"/>
      <c r="M245" s="2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2"/>
      <c r="M246" s="2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2"/>
      <c r="M247" s="2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2"/>
      <c r="M248" s="2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2"/>
      <c r="M249" s="2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2"/>
      <c r="M250" s="2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2"/>
      <c r="M251" s="2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2"/>
      <c r="M252" s="2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2"/>
      <c r="M253" s="2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2"/>
      <c r="M254" s="2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2"/>
      <c r="M255" s="2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2"/>
      <c r="M256" s="2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2"/>
      <c r="M257" s="2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2"/>
      <c r="M258" s="2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2"/>
      <c r="M259" s="2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2"/>
      <c r="M260" s="2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2"/>
      <c r="M261" s="2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2"/>
      <c r="M262" s="2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2"/>
      <c r="M263" s="2"/>
    </row>
    <row r="264" spans="1:14" ht="13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4"/>
      <c r="L264" s="2"/>
      <c r="M264" s="2"/>
    </row>
    <row r="265" spans="1:14" ht="13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4"/>
      <c r="L265" s="24"/>
      <c r="M265" s="24"/>
    </row>
    <row r="266" spans="1:14" ht="13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4"/>
      <c r="L266" s="24"/>
      <c r="M266" s="24"/>
    </row>
    <row r="267" spans="1:14" ht="13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4"/>
      <c r="L267" s="24"/>
      <c r="M267" s="24"/>
    </row>
    <row r="268" spans="1:14" ht="13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4"/>
      <c r="L268" s="24"/>
      <c r="M268" s="24"/>
    </row>
    <row r="269" spans="1:14" ht="13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4"/>
      <c r="L269" s="24"/>
      <c r="M269" s="24"/>
    </row>
    <row r="270" spans="1:14" ht="13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4"/>
      <c r="L270" s="24"/>
      <c r="M270" s="24"/>
    </row>
    <row r="271" spans="1:14" ht="13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4"/>
      <c r="L271" s="24"/>
      <c r="M271" s="24"/>
    </row>
    <row r="272" spans="1:14" ht="13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4"/>
      <c r="L272" s="24"/>
      <c r="M272" s="24"/>
    </row>
    <row r="273" spans="1:13" ht="13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4"/>
      <c r="L273" s="24"/>
      <c r="M273" s="24"/>
    </row>
    <row r="274" spans="1:13" ht="13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4"/>
      <c r="L274" s="24"/>
      <c r="M274" s="24"/>
    </row>
    <row r="275" spans="1:13" ht="13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4"/>
      <c r="L275" s="24"/>
      <c r="M275" s="24"/>
    </row>
    <row r="276" spans="1:13" ht="13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4"/>
      <c r="L276" s="24"/>
      <c r="M276" s="24"/>
    </row>
    <row r="277" spans="1:13" ht="13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4"/>
      <c r="L277" s="24"/>
      <c r="M277" s="24"/>
    </row>
    <row r="278" spans="1:13" ht="13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4"/>
      <c r="L278" s="24"/>
      <c r="M278" s="24"/>
    </row>
    <row r="279" spans="1:13" ht="13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4"/>
      <c r="L279" s="24"/>
      <c r="M279" s="24"/>
    </row>
    <row r="280" spans="1:13" ht="13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4"/>
      <c r="L280" s="24"/>
      <c r="M280" s="24"/>
    </row>
    <row r="281" spans="1:13" ht="13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4"/>
      <c r="L281" s="24"/>
      <c r="M281" s="24"/>
    </row>
    <row r="282" spans="1:13" ht="13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4"/>
      <c r="L282" s="24"/>
      <c r="M282" s="24"/>
    </row>
    <row r="283" spans="1:13" ht="13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4"/>
      <c r="L283" s="24"/>
      <c r="M283" s="24"/>
    </row>
    <row r="284" spans="1:13" ht="13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4"/>
      <c r="L284" s="24"/>
      <c r="M284" s="24"/>
    </row>
    <row r="285" spans="1:13" ht="13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4"/>
      <c r="L285" s="24"/>
      <c r="M285" s="24"/>
    </row>
    <row r="286" spans="1:13" ht="13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4"/>
      <c r="L286" s="24"/>
      <c r="M286" s="24"/>
    </row>
    <row r="287" spans="1:13" ht="13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4"/>
      <c r="L287" s="24"/>
      <c r="M287" s="24"/>
    </row>
    <row r="288" spans="1:13" ht="13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4"/>
      <c r="L288" s="24"/>
      <c r="M288" s="24"/>
    </row>
    <row r="289" spans="1:13" ht="13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4"/>
      <c r="L289" s="24"/>
      <c r="M289" s="24"/>
    </row>
    <row r="290" spans="1:13" ht="13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4"/>
      <c r="L290" s="24"/>
      <c r="M290" s="24"/>
    </row>
    <row r="291" spans="1:13" ht="13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4"/>
      <c r="L291" s="24"/>
      <c r="M291" s="24"/>
    </row>
    <row r="292" spans="1:13" ht="13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4"/>
      <c r="L292" s="24"/>
      <c r="M292" s="24"/>
    </row>
    <row r="293" spans="1:13" ht="13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4"/>
      <c r="L293" s="24"/>
      <c r="M293" s="24"/>
    </row>
    <row r="294" spans="1:13" ht="13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4"/>
      <c r="L294" s="24"/>
      <c r="M294" s="24"/>
    </row>
    <row r="295" spans="1:13" ht="13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4"/>
      <c r="L295" s="24"/>
      <c r="M295" s="24"/>
    </row>
    <row r="296" spans="1:13" ht="13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4"/>
      <c r="L296" s="24"/>
      <c r="M296" s="24"/>
    </row>
    <row r="297" spans="1:13" ht="13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4"/>
      <c r="L297" s="24"/>
      <c r="M297" s="24"/>
    </row>
    <row r="298" spans="1:13" ht="13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4"/>
      <c r="L298" s="24"/>
      <c r="M298" s="24"/>
    </row>
    <row r="299" spans="1:13" ht="13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4"/>
      <c r="L299" s="24"/>
      <c r="M299" s="24"/>
    </row>
    <row r="300" spans="1:13" ht="13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4"/>
      <c r="L300" s="24"/>
      <c r="M300" s="24"/>
    </row>
    <row r="301" spans="1:13" ht="13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4"/>
      <c r="L301" s="24"/>
      <c r="M301" s="24"/>
    </row>
    <row r="302" spans="1:13" ht="13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4"/>
      <c r="L302" s="24"/>
      <c r="M302" s="24"/>
    </row>
    <row r="303" spans="1:13" ht="13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4"/>
      <c r="L303" s="24"/>
      <c r="M303" s="24"/>
    </row>
    <row r="304" spans="1:13" ht="13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4"/>
      <c r="L304" s="24"/>
      <c r="M304" s="24"/>
    </row>
    <row r="305" spans="1:13" ht="13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4"/>
      <c r="L305" s="24"/>
      <c r="M305" s="24"/>
    </row>
    <row r="306" spans="1:13" ht="13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4"/>
      <c r="L306" s="24"/>
      <c r="M306" s="24"/>
    </row>
    <row r="307" spans="1:13" ht="13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4"/>
      <c r="L307" s="24"/>
      <c r="M307" s="24"/>
    </row>
    <row r="308" spans="1:13" ht="13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4"/>
      <c r="L308" s="24"/>
      <c r="M308" s="24"/>
    </row>
    <row r="309" spans="1:13" ht="13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4"/>
      <c r="L309" s="24"/>
      <c r="M309" s="24"/>
    </row>
    <row r="310" spans="1:13" ht="13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4"/>
      <c r="L310" s="24"/>
      <c r="M310" s="24"/>
    </row>
    <row r="311" spans="1:13" ht="13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4"/>
      <c r="L311" s="24"/>
      <c r="M311" s="24"/>
    </row>
    <row r="312" spans="1:13" ht="13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4"/>
      <c r="L312" s="24"/>
      <c r="M312" s="24"/>
    </row>
    <row r="313" spans="1:13" ht="13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4"/>
      <c r="L313" s="24"/>
      <c r="M313" s="24"/>
    </row>
    <row r="314" spans="1:13" ht="13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4"/>
      <c r="L314" s="24"/>
      <c r="M314" s="24"/>
    </row>
    <row r="315" spans="1:13" ht="13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4"/>
      <c r="L315" s="24"/>
      <c r="M315" s="24"/>
    </row>
    <row r="316" spans="1:13" ht="13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4"/>
      <c r="L316" s="24"/>
      <c r="M316" s="24"/>
    </row>
    <row r="317" spans="1:13" ht="13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4"/>
      <c r="L317" s="24"/>
      <c r="M317" s="24"/>
    </row>
    <row r="318" spans="1:13" ht="13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4"/>
      <c r="L318" s="24"/>
      <c r="M318" s="24"/>
    </row>
    <row r="319" spans="1:13" ht="13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4"/>
      <c r="L319" s="24"/>
      <c r="M319" s="24"/>
    </row>
    <row r="320" spans="1:13" ht="13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4"/>
      <c r="L320" s="24"/>
      <c r="M320" s="24"/>
    </row>
    <row r="321" spans="1:13" ht="13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4"/>
      <c r="L321" s="24"/>
      <c r="M321" s="24"/>
    </row>
    <row r="322" spans="1:13" ht="13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4"/>
      <c r="L322" s="24"/>
      <c r="M322" s="24"/>
    </row>
    <row r="323" spans="1:13" ht="13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4"/>
      <c r="L323" s="24"/>
      <c r="M323" s="24"/>
    </row>
    <row r="324" spans="1:13" ht="13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4"/>
      <c r="L324" s="24"/>
      <c r="M324" s="24"/>
    </row>
    <row r="325" spans="1:13" ht="13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4"/>
      <c r="L325" s="24"/>
      <c r="M325" s="24"/>
    </row>
    <row r="326" spans="1:13" ht="13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4"/>
      <c r="L326" s="24"/>
      <c r="M326" s="24"/>
    </row>
    <row r="327" spans="1:13" ht="13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4"/>
      <c r="L327" s="24"/>
      <c r="M327" s="24"/>
    </row>
    <row r="328" spans="1:13" ht="13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4"/>
      <c r="L328" s="24"/>
      <c r="M328" s="24"/>
    </row>
    <row r="329" spans="1:13" ht="13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4"/>
      <c r="L329" s="24"/>
      <c r="M329" s="24"/>
    </row>
    <row r="330" spans="1:13" ht="13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4"/>
      <c r="L330" s="24"/>
      <c r="M330" s="24"/>
    </row>
    <row r="331" spans="1:13" ht="13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4"/>
      <c r="L331" s="24"/>
      <c r="M331" s="24"/>
    </row>
    <row r="332" spans="1:13" ht="13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4"/>
      <c r="L332" s="24"/>
      <c r="M332" s="24"/>
    </row>
    <row r="333" spans="1:13" ht="13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4"/>
      <c r="L333" s="24"/>
      <c r="M333" s="24"/>
    </row>
    <row r="334" spans="1:13" ht="13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4"/>
      <c r="L334" s="24"/>
      <c r="M334" s="24"/>
    </row>
    <row r="335" spans="1:13" ht="13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4"/>
      <c r="L335" s="24"/>
      <c r="M335" s="24"/>
    </row>
    <row r="336" spans="1:13" ht="13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4"/>
      <c r="L336" s="24"/>
      <c r="M336" s="24"/>
    </row>
    <row r="337" spans="1:13" ht="13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4"/>
      <c r="L337" s="24"/>
      <c r="M337" s="24"/>
    </row>
    <row r="338" spans="1:13" ht="13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4"/>
      <c r="L338" s="24"/>
      <c r="M338" s="24"/>
    </row>
    <row r="339" spans="1:13" ht="13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4"/>
      <c r="L339" s="24"/>
      <c r="M339" s="24"/>
    </row>
    <row r="340" spans="1:13" ht="13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4"/>
      <c r="L340" s="24"/>
      <c r="M340" s="24"/>
    </row>
    <row r="341" spans="1:13" ht="13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4"/>
      <c r="L341" s="24"/>
      <c r="M341" s="24"/>
    </row>
    <row r="342" spans="1:13" ht="13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4"/>
      <c r="L342" s="24"/>
      <c r="M342" s="24"/>
    </row>
    <row r="343" spans="1:13" ht="13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4"/>
      <c r="L343" s="24"/>
      <c r="M343" s="24"/>
    </row>
    <row r="344" spans="1:13" ht="13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4"/>
      <c r="L344" s="24"/>
      <c r="M344" s="24"/>
    </row>
    <row r="345" spans="1:13" ht="13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4"/>
      <c r="L345" s="24"/>
      <c r="M345" s="24"/>
    </row>
    <row r="346" spans="1:13" ht="13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4"/>
      <c r="L346" s="24"/>
      <c r="M346" s="24"/>
    </row>
    <row r="347" spans="1:13" ht="13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4"/>
      <c r="L347" s="24"/>
      <c r="M347" s="24"/>
    </row>
    <row r="348" spans="1:13" ht="13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4"/>
      <c r="L348" s="24"/>
      <c r="M348" s="24"/>
    </row>
    <row r="349" spans="1:13" ht="13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4"/>
      <c r="L349" s="24"/>
      <c r="M349" s="24"/>
    </row>
    <row r="350" spans="1:13" ht="13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4"/>
      <c r="L350" s="24"/>
      <c r="M350" s="24"/>
    </row>
    <row r="351" spans="1:13" ht="13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4"/>
      <c r="L351" s="24"/>
      <c r="M351" s="24"/>
    </row>
    <row r="352" spans="1:13" ht="13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4"/>
      <c r="L352" s="24"/>
      <c r="M352" s="24"/>
    </row>
    <row r="353" spans="1:13" ht="13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4"/>
      <c r="L353" s="24"/>
      <c r="M353" s="24"/>
    </row>
    <row r="354" spans="1:13" ht="13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4"/>
      <c r="L354" s="24"/>
      <c r="M354" s="24"/>
    </row>
    <row r="355" spans="1:13" ht="13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4"/>
      <c r="L355" s="24"/>
      <c r="M355" s="24"/>
    </row>
    <row r="356" spans="1:13" ht="13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4"/>
      <c r="L356" s="24"/>
      <c r="M356" s="24"/>
    </row>
    <row r="357" spans="1:13" ht="13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4"/>
      <c r="L357" s="24"/>
      <c r="M357" s="24"/>
    </row>
    <row r="358" spans="1:13" ht="13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4"/>
      <c r="L358" s="24"/>
      <c r="M358" s="24"/>
    </row>
    <row r="359" spans="1:13" ht="13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4"/>
      <c r="L359" s="24"/>
      <c r="M359" s="24"/>
    </row>
    <row r="360" spans="1:13" ht="13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4"/>
      <c r="L360" s="24"/>
      <c r="M360" s="24"/>
    </row>
    <row r="361" spans="1:13" ht="13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4"/>
      <c r="L361" s="24"/>
      <c r="M361" s="24"/>
    </row>
    <row r="362" spans="1:13" ht="13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4"/>
      <c r="L362" s="24"/>
      <c r="M362" s="24"/>
    </row>
    <row r="363" spans="1:13" ht="13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4"/>
      <c r="L363" s="24"/>
      <c r="M363" s="24"/>
    </row>
    <row r="364" spans="1:13" ht="13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4"/>
      <c r="L364" s="24"/>
      <c r="M364" s="24"/>
    </row>
    <row r="365" spans="1:13" ht="13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4"/>
      <c r="L365" s="24"/>
      <c r="M365" s="24"/>
    </row>
    <row r="366" spans="1:13" ht="13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4"/>
      <c r="L366" s="24"/>
      <c r="M366" s="24"/>
    </row>
    <row r="367" spans="1:13" ht="13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4"/>
      <c r="L367" s="24"/>
      <c r="M367" s="24"/>
    </row>
    <row r="368" spans="1:13" ht="13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4"/>
      <c r="L368" s="24"/>
      <c r="M368" s="24"/>
    </row>
    <row r="369" spans="1:13" ht="13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4"/>
      <c r="L369" s="24"/>
      <c r="M369" s="24"/>
    </row>
    <row r="370" spans="1:13" ht="13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4"/>
      <c r="L370" s="24"/>
      <c r="M370" s="24"/>
    </row>
    <row r="371" spans="1:13" ht="13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4"/>
      <c r="L371" s="24"/>
      <c r="M371" s="24"/>
    </row>
    <row r="372" spans="1:13" ht="13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4"/>
      <c r="L372" s="24"/>
      <c r="M372" s="24"/>
    </row>
    <row r="373" spans="1:13" ht="13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4"/>
      <c r="L373" s="24"/>
      <c r="M373" s="24"/>
    </row>
    <row r="374" spans="1:13" ht="13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4"/>
      <c r="L374" s="24"/>
      <c r="M374" s="24"/>
    </row>
    <row r="375" spans="1:13" ht="13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4"/>
      <c r="L375" s="24"/>
      <c r="M375" s="24"/>
    </row>
    <row r="376" spans="1:13" ht="13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4"/>
      <c r="L376" s="24"/>
      <c r="M376" s="24"/>
    </row>
    <row r="377" spans="1:13" ht="13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4"/>
      <c r="L377" s="24"/>
      <c r="M377" s="24"/>
    </row>
    <row r="378" spans="1:13" ht="13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4"/>
      <c r="L378" s="24"/>
      <c r="M378" s="24"/>
    </row>
    <row r="379" spans="1:13" ht="13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4"/>
      <c r="L379" s="24"/>
      <c r="M379" s="24"/>
    </row>
    <row r="380" spans="1:13" ht="13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4"/>
      <c r="L380" s="24"/>
      <c r="M380" s="24"/>
    </row>
    <row r="381" spans="1:13" ht="13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4"/>
      <c r="L381" s="24"/>
      <c r="M381" s="24"/>
    </row>
    <row r="382" spans="1:13" ht="13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4"/>
      <c r="L382" s="24"/>
      <c r="M382" s="24"/>
    </row>
    <row r="383" spans="1:13" ht="13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4"/>
      <c r="L383" s="24"/>
      <c r="M383" s="24"/>
    </row>
    <row r="384" spans="1:13" ht="13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4"/>
      <c r="L384" s="24"/>
      <c r="M384" s="24"/>
    </row>
    <row r="385" spans="1:13" ht="13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4"/>
      <c r="L385" s="24"/>
      <c r="M385" s="24"/>
    </row>
    <row r="386" spans="1:13" ht="13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4"/>
      <c r="L386" s="24"/>
      <c r="M386" s="24"/>
    </row>
    <row r="387" spans="1:13" ht="13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4"/>
      <c r="L387" s="24"/>
      <c r="M387" s="24"/>
    </row>
    <row r="388" spans="1:13" ht="13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4"/>
      <c r="L388" s="24"/>
      <c r="M388" s="24"/>
    </row>
    <row r="389" spans="1:13" ht="13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4"/>
      <c r="L389" s="24"/>
      <c r="M389" s="24"/>
    </row>
    <row r="390" spans="1:13" ht="13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4"/>
      <c r="L390" s="24"/>
      <c r="M390" s="24"/>
    </row>
    <row r="391" spans="1:13" ht="13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4"/>
      <c r="L391" s="24"/>
      <c r="M391" s="24"/>
    </row>
    <row r="392" spans="1:13" ht="13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4"/>
      <c r="L392" s="24"/>
      <c r="M392" s="24"/>
    </row>
    <row r="393" spans="1:13" ht="13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4"/>
      <c r="L393" s="24"/>
      <c r="M393" s="24"/>
    </row>
    <row r="394" spans="1:13" ht="13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4"/>
      <c r="L394" s="24"/>
      <c r="M394" s="24"/>
    </row>
    <row r="395" spans="1:13" ht="13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4"/>
      <c r="L395" s="24"/>
      <c r="M395" s="24"/>
    </row>
    <row r="396" spans="1:13" ht="13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4"/>
      <c r="L396" s="24"/>
      <c r="M396" s="24"/>
    </row>
    <row r="397" spans="1:13" ht="13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4"/>
      <c r="L397" s="24"/>
      <c r="M397" s="24"/>
    </row>
    <row r="398" spans="1:13" ht="13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4"/>
      <c r="L398" s="24"/>
      <c r="M398" s="24"/>
    </row>
    <row r="399" spans="1:13" ht="13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4"/>
      <c r="L399" s="24"/>
      <c r="M399" s="24"/>
    </row>
    <row r="400" spans="1:13" ht="13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4"/>
      <c r="L400" s="24"/>
      <c r="M400" s="24"/>
    </row>
    <row r="401" spans="1:13" ht="13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4"/>
      <c r="L401" s="24"/>
      <c r="M401" s="24"/>
    </row>
    <row r="402" spans="1:13" ht="13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4"/>
      <c r="L402" s="24"/>
      <c r="M402" s="24"/>
    </row>
    <row r="403" spans="1:13" ht="13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4"/>
      <c r="L403" s="24"/>
      <c r="M403" s="24"/>
    </row>
    <row r="404" spans="1:13" ht="13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4"/>
      <c r="L404" s="24"/>
      <c r="M404" s="24"/>
    </row>
    <row r="405" spans="1:13" ht="13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4"/>
      <c r="L405" s="24"/>
      <c r="M405" s="24"/>
    </row>
    <row r="406" spans="1:13" ht="13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4"/>
      <c r="L406" s="24"/>
      <c r="M406" s="24"/>
    </row>
    <row r="407" spans="1:13" ht="13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4"/>
      <c r="L407" s="24"/>
      <c r="M407" s="24"/>
    </row>
    <row r="408" spans="1:13" ht="13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4"/>
      <c r="L408" s="24"/>
      <c r="M408" s="24"/>
    </row>
    <row r="409" spans="1:13" ht="13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4"/>
      <c r="L409" s="24"/>
      <c r="M409" s="24"/>
    </row>
    <row r="410" spans="1:13" ht="13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4"/>
      <c r="L410" s="24"/>
      <c r="M410" s="24"/>
    </row>
    <row r="411" spans="1:13" ht="13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4"/>
      <c r="L411" s="24"/>
      <c r="M411" s="24"/>
    </row>
    <row r="412" spans="1:13" ht="13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4"/>
      <c r="L412" s="24"/>
      <c r="M412" s="24"/>
    </row>
    <row r="413" spans="1:13" ht="13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4"/>
      <c r="L413" s="24"/>
      <c r="M413" s="24"/>
    </row>
    <row r="414" spans="1:13" ht="13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4"/>
      <c r="L414" s="24"/>
      <c r="M414" s="24"/>
    </row>
    <row r="415" spans="1:13" ht="13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4"/>
      <c r="L415" s="24"/>
      <c r="M415" s="24"/>
    </row>
    <row r="416" spans="1:13" ht="13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4"/>
      <c r="L416" s="24"/>
      <c r="M416" s="24"/>
    </row>
    <row r="417" spans="1:13" ht="13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4"/>
      <c r="L417" s="24"/>
      <c r="M417" s="24"/>
    </row>
    <row r="418" spans="1:13" ht="13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4"/>
      <c r="L418" s="24"/>
      <c r="M418" s="24"/>
    </row>
    <row r="419" spans="1:13" ht="13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4"/>
      <c r="L419" s="24"/>
      <c r="M419" s="24"/>
    </row>
    <row r="420" spans="1:13" ht="13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4"/>
      <c r="L420" s="24"/>
      <c r="M420" s="24"/>
    </row>
    <row r="421" spans="1:13" ht="13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4"/>
      <c r="L421" s="24"/>
      <c r="M421" s="24"/>
    </row>
    <row r="422" spans="1:13" ht="13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4"/>
      <c r="L422" s="24"/>
      <c r="M422" s="24"/>
    </row>
    <row r="423" spans="1:13" ht="13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4"/>
      <c r="L423" s="24"/>
      <c r="M423" s="24"/>
    </row>
    <row r="424" spans="1:13" ht="13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4"/>
      <c r="L424" s="24"/>
      <c r="M424" s="24"/>
    </row>
    <row r="425" spans="1:13" ht="13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4"/>
      <c r="L425" s="24"/>
      <c r="M425" s="24"/>
    </row>
    <row r="426" spans="1:13" ht="13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4"/>
      <c r="L426" s="24"/>
      <c r="M426" s="24"/>
    </row>
    <row r="427" spans="1:13" ht="13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4"/>
      <c r="L427" s="24"/>
      <c r="M427" s="24"/>
    </row>
    <row r="428" spans="1:13" ht="13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4"/>
      <c r="L428" s="24"/>
      <c r="M428" s="24"/>
    </row>
    <row r="429" spans="1:13" ht="13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4"/>
      <c r="L429" s="24"/>
      <c r="M429" s="24"/>
    </row>
    <row r="430" spans="1:13" ht="13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4"/>
      <c r="L430" s="24"/>
      <c r="M430" s="24"/>
    </row>
    <row r="431" spans="1:13" ht="13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4"/>
      <c r="L431" s="24"/>
      <c r="M431" s="24"/>
    </row>
    <row r="432" spans="1:13" ht="13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4"/>
      <c r="L432" s="24"/>
      <c r="M432" s="24"/>
    </row>
    <row r="433" spans="1:13" ht="13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4"/>
      <c r="L433" s="24"/>
      <c r="M433" s="24"/>
    </row>
    <row r="434" spans="1:13" ht="13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4"/>
      <c r="L434" s="24"/>
      <c r="M434" s="24"/>
    </row>
    <row r="435" spans="1:13" ht="13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4"/>
      <c r="L435" s="24"/>
      <c r="M435" s="24"/>
    </row>
    <row r="436" spans="1:13" ht="13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4"/>
      <c r="L436" s="24"/>
      <c r="M436" s="24"/>
    </row>
    <row r="437" spans="1:13" ht="13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4"/>
      <c r="L437" s="24"/>
      <c r="M437" s="24"/>
    </row>
    <row r="438" spans="1:13" ht="13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4"/>
      <c r="L438" s="24"/>
      <c r="M438" s="24"/>
    </row>
    <row r="439" spans="1:13" ht="13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4"/>
      <c r="L439" s="24"/>
      <c r="M439" s="24"/>
    </row>
    <row r="440" spans="1:13" ht="13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4"/>
      <c r="L440" s="24"/>
      <c r="M440" s="24"/>
    </row>
    <row r="441" spans="1:13" ht="13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4"/>
      <c r="L441" s="24"/>
      <c r="M441" s="24"/>
    </row>
    <row r="442" spans="1:13" ht="13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4"/>
      <c r="L442" s="24"/>
      <c r="M442" s="24"/>
    </row>
    <row r="443" spans="1:13" ht="13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4"/>
      <c r="L443" s="24"/>
      <c r="M443" s="24"/>
    </row>
    <row r="444" spans="1:13" ht="13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4"/>
      <c r="L444" s="24"/>
      <c r="M444" s="24"/>
    </row>
    <row r="445" spans="1:13" ht="13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4"/>
      <c r="L445" s="24"/>
      <c r="M445" s="24"/>
    </row>
    <row r="446" spans="1:13" ht="13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4"/>
      <c r="L446" s="24"/>
      <c r="M446" s="24"/>
    </row>
    <row r="447" spans="1:13" ht="13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4"/>
      <c r="L447" s="24"/>
      <c r="M447" s="24"/>
    </row>
    <row r="448" spans="1:13" ht="13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4"/>
      <c r="L448" s="24"/>
      <c r="M448" s="24"/>
    </row>
    <row r="449" spans="1:13" ht="13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4"/>
      <c r="L449" s="24"/>
      <c r="M449" s="24"/>
    </row>
    <row r="450" spans="1:13" ht="13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4"/>
      <c r="L450" s="24"/>
      <c r="M450" s="24"/>
    </row>
    <row r="451" spans="1:13" ht="13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4"/>
      <c r="L451" s="24"/>
      <c r="M451" s="24"/>
    </row>
    <row r="452" spans="1:13" ht="13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4"/>
      <c r="L452" s="24"/>
      <c r="M452" s="24"/>
    </row>
    <row r="453" spans="1:13" ht="13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4"/>
      <c r="L453" s="24"/>
      <c r="M453" s="24"/>
    </row>
    <row r="454" spans="1:13" ht="13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4"/>
      <c r="L454" s="24"/>
      <c r="M454" s="24"/>
    </row>
    <row r="455" spans="1:13" ht="13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4"/>
      <c r="L455" s="24"/>
      <c r="M455" s="24"/>
    </row>
    <row r="456" spans="1:13" ht="13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4"/>
      <c r="L456" s="24"/>
      <c r="M456" s="24"/>
    </row>
    <row r="457" spans="1:13" ht="13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4"/>
      <c r="L457" s="24"/>
      <c r="M457" s="24"/>
    </row>
    <row r="458" spans="1:13" ht="13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4"/>
      <c r="L458" s="24"/>
      <c r="M458" s="24"/>
    </row>
    <row r="459" spans="1:13" ht="13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4"/>
      <c r="L459" s="24"/>
      <c r="M459" s="24"/>
    </row>
    <row r="460" spans="1:13" ht="13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4"/>
      <c r="L460" s="24"/>
      <c r="M460" s="24"/>
    </row>
    <row r="461" spans="1:13" ht="13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4"/>
      <c r="L461" s="24"/>
      <c r="M461" s="24"/>
    </row>
    <row r="462" spans="1:13" ht="13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4"/>
      <c r="L462" s="24"/>
      <c r="M462" s="24"/>
    </row>
    <row r="463" spans="1:13" ht="13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4"/>
      <c r="L463" s="24"/>
      <c r="M463" s="24"/>
    </row>
    <row r="464" spans="1:13" ht="13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4"/>
      <c r="L464" s="24"/>
      <c r="M464" s="24"/>
    </row>
    <row r="465" spans="1:13" ht="13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4"/>
      <c r="L465" s="24"/>
      <c r="M465" s="24"/>
    </row>
    <row r="466" spans="1:13" ht="13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4"/>
      <c r="L466" s="24"/>
      <c r="M466" s="24"/>
    </row>
    <row r="467" spans="1:13" ht="13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4"/>
      <c r="L467" s="24"/>
      <c r="M467" s="24"/>
    </row>
    <row r="468" spans="1:13" ht="13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4"/>
      <c r="L468" s="24"/>
      <c r="M468" s="24"/>
    </row>
    <row r="469" spans="1:13" ht="13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4"/>
      <c r="L469" s="24"/>
      <c r="M469" s="24"/>
    </row>
    <row r="470" spans="1:13" ht="13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4"/>
      <c r="L470" s="24"/>
      <c r="M470" s="24"/>
    </row>
    <row r="471" spans="1:13" ht="13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4"/>
      <c r="L471" s="24"/>
      <c r="M471" s="24"/>
    </row>
    <row r="472" spans="1:13" ht="13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4"/>
      <c r="L472" s="24"/>
      <c r="M472" s="24"/>
    </row>
    <row r="473" spans="1:13" ht="13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4"/>
      <c r="L473" s="24"/>
      <c r="M473" s="24"/>
    </row>
    <row r="474" spans="1:13" ht="13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4"/>
      <c r="L474" s="24"/>
      <c r="M474" s="24"/>
    </row>
    <row r="475" spans="1:13" ht="13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4"/>
      <c r="L475" s="24"/>
      <c r="M475" s="24"/>
    </row>
    <row r="476" spans="1:13" ht="13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4"/>
      <c r="L476" s="24"/>
      <c r="M476" s="24"/>
    </row>
    <row r="477" spans="1:13" ht="13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4"/>
      <c r="L477" s="24"/>
      <c r="M477" s="24"/>
    </row>
    <row r="478" spans="1:13" ht="13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4"/>
      <c r="L478" s="24"/>
      <c r="M478" s="24"/>
    </row>
    <row r="479" spans="1:13" ht="13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4"/>
      <c r="L479" s="24"/>
      <c r="M479" s="24"/>
    </row>
    <row r="480" spans="1:13" ht="13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4"/>
      <c r="L480" s="24"/>
      <c r="M480" s="24"/>
    </row>
    <row r="481" spans="1:13" ht="13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4"/>
      <c r="L481" s="24"/>
      <c r="M481" s="24"/>
    </row>
    <row r="482" spans="1:13" ht="13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4"/>
      <c r="L482" s="24"/>
      <c r="M482" s="24"/>
    </row>
    <row r="483" spans="1:13" ht="13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4"/>
      <c r="L483" s="24"/>
      <c r="M483" s="24"/>
    </row>
    <row r="484" spans="1:13" ht="13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4"/>
      <c r="L484" s="24"/>
      <c r="M484" s="24"/>
    </row>
    <row r="485" spans="1:13" ht="13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4"/>
      <c r="L485" s="24"/>
      <c r="M485" s="24"/>
    </row>
    <row r="486" spans="1:13" ht="13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4"/>
      <c r="L486" s="24"/>
      <c r="M486" s="24"/>
    </row>
    <row r="487" spans="1:13" ht="13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4"/>
      <c r="L487" s="24"/>
      <c r="M487" s="24"/>
    </row>
    <row r="488" spans="1:13" ht="13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4"/>
      <c r="L488" s="24"/>
      <c r="M488" s="24"/>
    </row>
    <row r="489" spans="1:13" ht="13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4"/>
      <c r="L489" s="24"/>
      <c r="M489" s="24"/>
    </row>
    <row r="490" spans="1:13" ht="13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4"/>
      <c r="L490" s="24"/>
      <c r="M490" s="24"/>
    </row>
    <row r="491" spans="1:13" ht="13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4"/>
      <c r="L491" s="24"/>
      <c r="M491" s="24"/>
    </row>
    <row r="492" spans="1:13" ht="13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4"/>
      <c r="L492" s="24"/>
      <c r="M492" s="24"/>
    </row>
    <row r="493" spans="1:13" ht="13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4"/>
      <c r="L493" s="24"/>
      <c r="M493" s="24"/>
    </row>
    <row r="494" spans="1:13" ht="13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4"/>
      <c r="L494" s="24"/>
      <c r="M494" s="24"/>
    </row>
    <row r="495" spans="1:13" ht="13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4"/>
      <c r="L495" s="24"/>
      <c r="M495" s="24"/>
    </row>
    <row r="496" spans="1:13" ht="13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4"/>
      <c r="L496" s="24"/>
      <c r="M496" s="24"/>
    </row>
    <row r="497" spans="1:13" ht="13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4"/>
      <c r="L497" s="24"/>
      <c r="M497" s="24"/>
    </row>
    <row r="498" spans="1:13" ht="13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4"/>
      <c r="L498" s="24"/>
      <c r="M498" s="24"/>
    </row>
    <row r="499" spans="1:13" ht="13" x14ac:dyDescent="0.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4"/>
      <c r="L499" s="24"/>
      <c r="M499" s="24"/>
    </row>
    <row r="500" spans="1:13" ht="13" x14ac:dyDescent="0.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4"/>
      <c r="L500" s="24"/>
      <c r="M500" s="24"/>
    </row>
    <row r="501" spans="1:13" ht="13" x14ac:dyDescent="0.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4"/>
      <c r="L501" s="24"/>
      <c r="M501" s="24"/>
    </row>
    <row r="502" spans="1:13" ht="13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4"/>
      <c r="L502" s="24"/>
      <c r="M502" s="24"/>
    </row>
    <row r="503" spans="1:13" ht="13" x14ac:dyDescent="0.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4"/>
      <c r="L503" s="24"/>
      <c r="M503" s="24"/>
    </row>
    <row r="504" spans="1:13" ht="13" x14ac:dyDescent="0.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4"/>
      <c r="L504" s="24"/>
      <c r="M504" s="24"/>
    </row>
    <row r="505" spans="1:13" ht="13" x14ac:dyDescent="0.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4"/>
      <c r="L505" s="24"/>
      <c r="M505" s="24"/>
    </row>
    <row r="506" spans="1:13" ht="13" x14ac:dyDescent="0.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4"/>
      <c r="L506" s="24"/>
      <c r="M506" s="24"/>
    </row>
    <row r="507" spans="1:13" ht="13" x14ac:dyDescent="0.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4"/>
      <c r="L507" s="24"/>
      <c r="M507" s="24"/>
    </row>
    <row r="508" spans="1:13" ht="13" x14ac:dyDescent="0.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4"/>
      <c r="L508" s="24"/>
      <c r="M508" s="24"/>
    </row>
    <row r="509" spans="1:13" ht="13" x14ac:dyDescent="0.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4"/>
      <c r="L509" s="24"/>
      <c r="M509" s="24"/>
    </row>
    <row r="510" spans="1:13" ht="13" x14ac:dyDescent="0.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4"/>
      <c r="L510" s="24"/>
      <c r="M510" s="24"/>
    </row>
    <row r="511" spans="1:13" ht="13" x14ac:dyDescent="0.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4"/>
      <c r="L511" s="24"/>
      <c r="M511" s="24"/>
    </row>
    <row r="512" spans="1:13" ht="13" x14ac:dyDescent="0.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4"/>
      <c r="L512" s="24"/>
      <c r="M512" s="24"/>
    </row>
    <row r="513" spans="1:13" ht="13" x14ac:dyDescent="0.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4"/>
      <c r="L513" s="24"/>
      <c r="M513" s="24"/>
    </row>
    <row r="514" spans="1:13" ht="13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4"/>
      <c r="L514" s="24"/>
      <c r="M514" s="24"/>
    </row>
    <row r="515" spans="1:13" ht="13" x14ac:dyDescent="0.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4"/>
      <c r="L515" s="24"/>
      <c r="M515" s="24"/>
    </row>
    <row r="516" spans="1:13" ht="13" x14ac:dyDescent="0.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4"/>
      <c r="L516" s="24"/>
      <c r="M516" s="24"/>
    </row>
    <row r="517" spans="1:13" ht="13" x14ac:dyDescent="0.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4"/>
      <c r="L517" s="24"/>
      <c r="M517" s="24"/>
    </row>
    <row r="518" spans="1:13" ht="13" x14ac:dyDescent="0.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4"/>
      <c r="L518" s="24"/>
      <c r="M518" s="24"/>
    </row>
    <row r="519" spans="1:13" ht="13" x14ac:dyDescent="0.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4"/>
      <c r="L519" s="24"/>
      <c r="M519" s="24"/>
    </row>
    <row r="520" spans="1:13" ht="13" x14ac:dyDescent="0.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4"/>
      <c r="L520" s="24"/>
      <c r="M520" s="24"/>
    </row>
    <row r="521" spans="1:13" ht="13" x14ac:dyDescent="0.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4"/>
      <c r="L521" s="24"/>
      <c r="M521" s="24"/>
    </row>
    <row r="522" spans="1:13" ht="13" x14ac:dyDescent="0.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4"/>
      <c r="L522" s="24"/>
      <c r="M522" s="24"/>
    </row>
    <row r="523" spans="1:13" ht="13" x14ac:dyDescent="0.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4"/>
      <c r="L523" s="24"/>
      <c r="M523" s="24"/>
    </row>
    <row r="524" spans="1:13" ht="13" x14ac:dyDescent="0.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4"/>
      <c r="L524" s="24"/>
      <c r="M524" s="24"/>
    </row>
    <row r="525" spans="1:13" ht="13" x14ac:dyDescent="0.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4"/>
      <c r="L525" s="24"/>
      <c r="M525" s="24"/>
    </row>
    <row r="526" spans="1:13" ht="13" x14ac:dyDescent="0.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4"/>
      <c r="L526" s="24"/>
      <c r="M526" s="24"/>
    </row>
    <row r="527" spans="1:13" ht="13" x14ac:dyDescent="0.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4"/>
      <c r="L527" s="24"/>
      <c r="M527" s="24"/>
    </row>
    <row r="528" spans="1:13" ht="13" x14ac:dyDescent="0.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4"/>
      <c r="L528" s="24"/>
      <c r="M528" s="24"/>
    </row>
    <row r="529" spans="1:13" ht="13" x14ac:dyDescent="0.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4"/>
      <c r="L529" s="24"/>
      <c r="M529" s="24"/>
    </row>
    <row r="530" spans="1:13" ht="13" x14ac:dyDescent="0.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4"/>
      <c r="L530" s="24"/>
      <c r="M530" s="24"/>
    </row>
    <row r="531" spans="1:13" ht="13" x14ac:dyDescent="0.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4"/>
      <c r="L531" s="24"/>
      <c r="M531" s="24"/>
    </row>
    <row r="532" spans="1:13" ht="13" x14ac:dyDescent="0.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4"/>
      <c r="L532" s="24"/>
      <c r="M532" s="24"/>
    </row>
    <row r="533" spans="1:13" ht="13" x14ac:dyDescent="0.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4"/>
      <c r="L533" s="24"/>
      <c r="M533" s="24"/>
    </row>
    <row r="534" spans="1:13" ht="13" x14ac:dyDescent="0.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4"/>
      <c r="L534" s="24"/>
      <c r="M534" s="24"/>
    </row>
    <row r="535" spans="1:13" ht="13" x14ac:dyDescent="0.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4"/>
      <c r="L535" s="24"/>
      <c r="M535" s="24"/>
    </row>
    <row r="536" spans="1:13" ht="13" x14ac:dyDescent="0.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4"/>
      <c r="L536" s="24"/>
      <c r="M536" s="24"/>
    </row>
    <row r="537" spans="1:13" ht="13" x14ac:dyDescent="0.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4"/>
      <c r="L537" s="24"/>
      <c r="M537" s="24"/>
    </row>
    <row r="538" spans="1:13" ht="13" x14ac:dyDescent="0.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4"/>
      <c r="L538" s="24"/>
      <c r="M538" s="24"/>
    </row>
    <row r="539" spans="1:13" ht="13" x14ac:dyDescent="0.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4"/>
      <c r="L539" s="24"/>
      <c r="M539" s="24"/>
    </row>
    <row r="540" spans="1:13" ht="13" x14ac:dyDescent="0.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4"/>
      <c r="L540" s="24"/>
      <c r="M540" s="24"/>
    </row>
    <row r="541" spans="1:13" ht="13" x14ac:dyDescent="0.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4"/>
      <c r="L541" s="24"/>
      <c r="M541" s="24"/>
    </row>
    <row r="542" spans="1:13" ht="13" x14ac:dyDescent="0.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4"/>
      <c r="L542" s="24"/>
      <c r="M542" s="24"/>
    </row>
    <row r="543" spans="1:13" ht="13" x14ac:dyDescent="0.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4"/>
      <c r="L543" s="24"/>
      <c r="M543" s="24"/>
    </row>
    <row r="544" spans="1:13" ht="13" x14ac:dyDescent="0.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4"/>
      <c r="L544" s="24"/>
      <c r="M544" s="24"/>
    </row>
    <row r="545" spans="1:13" ht="13" x14ac:dyDescent="0.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4"/>
      <c r="L545" s="24"/>
      <c r="M545" s="24"/>
    </row>
    <row r="546" spans="1:13" ht="13" x14ac:dyDescent="0.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4"/>
      <c r="L546" s="24"/>
      <c r="M546" s="24"/>
    </row>
    <row r="547" spans="1:13" ht="13" x14ac:dyDescent="0.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4"/>
      <c r="L547" s="24"/>
      <c r="M547" s="24"/>
    </row>
    <row r="548" spans="1:13" ht="13" x14ac:dyDescent="0.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4"/>
      <c r="L548" s="24"/>
      <c r="M548" s="24"/>
    </row>
    <row r="549" spans="1:13" ht="13" x14ac:dyDescent="0.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4"/>
      <c r="L549" s="24"/>
      <c r="M549" s="24"/>
    </row>
    <row r="550" spans="1:13" ht="13" x14ac:dyDescent="0.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4"/>
      <c r="L550" s="24"/>
      <c r="M550" s="24"/>
    </row>
    <row r="551" spans="1:13" ht="13" x14ac:dyDescent="0.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4"/>
      <c r="L551" s="24"/>
      <c r="M551" s="24"/>
    </row>
    <row r="552" spans="1:13" ht="13" x14ac:dyDescent="0.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4"/>
      <c r="L552" s="24"/>
      <c r="M552" s="24"/>
    </row>
    <row r="553" spans="1:13" ht="13" x14ac:dyDescent="0.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4"/>
      <c r="L553" s="24"/>
      <c r="M553" s="24"/>
    </row>
    <row r="554" spans="1:13" ht="13" x14ac:dyDescent="0.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4"/>
      <c r="L554" s="24"/>
      <c r="M554" s="24"/>
    </row>
    <row r="555" spans="1:13" ht="13" x14ac:dyDescent="0.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4"/>
      <c r="L555" s="24"/>
      <c r="M555" s="24"/>
    </row>
    <row r="556" spans="1:13" ht="13" x14ac:dyDescent="0.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4"/>
      <c r="L556" s="24"/>
      <c r="M556" s="24"/>
    </row>
    <row r="557" spans="1:13" ht="13" x14ac:dyDescent="0.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4"/>
      <c r="L557" s="24"/>
      <c r="M557" s="24"/>
    </row>
    <row r="558" spans="1:13" ht="13" x14ac:dyDescent="0.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4"/>
      <c r="L558" s="24"/>
      <c r="M558" s="24"/>
    </row>
    <row r="559" spans="1:13" ht="13" x14ac:dyDescent="0.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4"/>
      <c r="L559" s="24"/>
      <c r="M559" s="24"/>
    </row>
    <row r="560" spans="1:13" ht="13" x14ac:dyDescent="0.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4"/>
      <c r="L560" s="24"/>
      <c r="M560" s="24"/>
    </row>
    <row r="561" spans="1:13" ht="13" x14ac:dyDescent="0.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4"/>
      <c r="L561" s="24"/>
      <c r="M561" s="24"/>
    </row>
    <row r="562" spans="1:13" ht="13" x14ac:dyDescent="0.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4"/>
      <c r="L562" s="24"/>
      <c r="M562" s="24"/>
    </row>
    <row r="563" spans="1:13" ht="13" x14ac:dyDescent="0.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4"/>
      <c r="L563" s="24"/>
      <c r="M563" s="24"/>
    </row>
    <row r="564" spans="1:13" ht="13" x14ac:dyDescent="0.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4"/>
      <c r="L564" s="24"/>
      <c r="M564" s="24"/>
    </row>
    <row r="565" spans="1:13" ht="13" x14ac:dyDescent="0.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4"/>
      <c r="L565" s="24"/>
      <c r="M565" s="24"/>
    </row>
    <row r="566" spans="1:13" ht="13" x14ac:dyDescent="0.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4"/>
      <c r="L566" s="24"/>
      <c r="M566" s="24"/>
    </row>
    <row r="567" spans="1:13" ht="13" x14ac:dyDescent="0.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4"/>
      <c r="L567" s="24"/>
      <c r="M567" s="24"/>
    </row>
    <row r="568" spans="1:13" ht="13" x14ac:dyDescent="0.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4"/>
      <c r="L568" s="24"/>
      <c r="M568" s="24"/>
    </row>
    <row r="569" spans="1:13" ht="13" x14ac:dyDescent="0.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4"/>
      <c r="L569" s="24"/>
      <c r="M569" s="24"/>
    </row>
    <row r="570" spans="1:13" ht="13" x14ac:dyDescent="0.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4"/>
      <c r="L570" s="24"/>
      <c r="M570" s="24"/>
    </row>
    <row r="571" spans="1:13" ht="13" x14ac:dyDescent="0.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4"/>
      <c r="L571" s="24"/>
      <c r="M571" s="24"/>
    </row>
    <row r="572" spans="1:13" ht="13" x14ac:dyDescent="0.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4"/>
      <c r="L572" s="24"/>
      <c r="M572" s="24"/>
    </row>
    <row r="573" spans="1:13" ht="13" x14ac:dyDescent="0.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4"/>
      <c r="L573" s="24"/>
      <c r="M573" s="24"/>
    </row>
    <row r="574" spans="1:13" ht="13" x14ac:dyDescent="0.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4"/>
      <c r="L574" s="24"/>
      <c r="M574" s="24"/>
    </row>
    <row r="575" spans="1:13" ht="13" x14ac:dyDescent="0.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4"/>
      <c r="L575" s="24"/>
      <c r="M575" s="24"/>
    </row>
    <row r="576" spans="1:13" ht="13" x14ac:dyDescent="0.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4"/>
      <c r="L576" s="24"/>
      <c r="M576" s="24"/>
    </row>
    <row r="577" spans="1:13" ht="13" x14ac:dyDescent="0.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4"/>
      <c r="L577" s="24"/>
      <c r="M577" s="24"/>
    </row>
    <row r="578" spans="1:13" ht="13" x14ac:dyDescent="0.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4"/>
      <c r="L578" s="24"/>
      <c r="M578" s="24"/>
    </row>
    <row r="579" spans="1:13" ht="13" x14ac:dyDescent="0.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4"/>
      <c r="L579" s="24"/>
      <c r="M579" s="24"/>
    </row>
    <row r="580" spans="1:13" ht="13" x14ac:dyDescent="0.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4"/>
      <c r="L580" s="24"/>
      <c r="M580" s="24"/>
    </row>
    <row r="581" spans="1:13" ht="13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4"/>
      <c r="L581" s="24"/>
      <c r="M581" s="24"/>
    </row>
    <row r="582" spans="1:13" ht="13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4"/>
      <c r="L582" s="24"/>
      <c r="M582" s="24"/>
    </row>
    <row r="583" spans="1:13" ht="13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4"/>
      <c r="L583" s="24"/>
      <c r="M583" s="24"/>
    </row>
    <row r="584" spans="1:13" ht="13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4"/>
      <c r="L584" s="24"/>
      <c r="M584" s="24"/>
    </row>
    <row r="585" spans="1:13" ht="13" x14ac:dyDescent="0.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4"/>
      <c r="L585" s="24"/>
      <c r="M585" s="24"/>
    </row>
    <row r="586" spans="1:13" ht="13" x14ac:dyDescent="0.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4"/>
      <c r="L586" s="24"/>
      <c r="M586" s="24"/>
    </row>
    <row r="587" spans="1:13" ht="13" x14ac:dyDescent="0.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4"/>
      <c r="L587" s="24"/>
      <c r="M587" s="24"/>
    </row>
    <row r="588" spans="1:13" ht="13" x14ac:dyDescent="0.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4"/>
      <c r="L588" s="24"/>
      <c r="M588" s="24"/>
    </row>
    <row r="589" spans="1:13" ht="13" x14ac:dyDescent="0.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4"/>
      <c r="L589" s="24"/>
      <c r="M589" s="24"/>
    </row>
    <row r="590" spans="1:13" ht="13" x14ac:dyDescent="0.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4"/>
      <c r="L590" s="24"/>
      <c r="M590" s="24"/>
    </row>
    <row r="591" spans="1:13" ht="13" x14ac:dyDescent="0.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4"/>
      <c r="L591" s="24"/>
      <c r="M591" s="24"/>
    </row>
    <row r="592" spans="1:13" ht="13" x14ac:dyDescent="0.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4"/>
      <c r="L592" s="24"/>
      <c r="M592" s="24"/>
    </row>
    <row r="593" spans="1:13" ht="13" x14ac:dyDescent="0.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4"/>
      <c r="L593" s="24"/>
      <c r="M593" s="24"/>
    </row>
    <row r="594" spans="1:13" ht="13" x14ac:dyDescent="0.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4"/>
      <c r="L594" s="24"/>
      <c r="M594" s="24"/>
    </row>
    <row r="595" spans="1:13" ht="13" x14ac:dyDescent="0.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4"/>
      <c r="L595" s="24"/>
      <c r="M595" s="24"/>
    </row>
    <row r="596" spans="1:13" ht="13" x14ac:dyDescent="0.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4"/>
      <c r="L596" s="24"/>
      <c r="M596" s="24"/>
    </row>
    <row r="597" spans="1:13" ht="13" x14ac:dyDescent="0.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4"/>
      <c r="L597" s="24"/>
      <c r="M597" s="24"/>
    </row>
    <row r="598" spans="1:13" ht="13" x14ac:dyDescent="0.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4"/>
      <c r="L598" s="24"/>
      <c r="M598" s="24"/>
    </row>
    <row r="599" spans="1:13" ht="13" x14ac:dyDescent="0.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4"/>
      <c r="L599" s="24"/>
      <c r="M599" s="24"/>
    </row>
    <row r="600" spans="1:13" ht="13" x14ac:dyDescent="0.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4"/>
      <c r="L600" s="24"/>
      <c r="M600" s="24"/>
    </row>
    <row r="601" spans="1:13" ht="13" x14ac:dyDescent="0.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4"/>
      <c r="L601" s="24"/>
      <c r="M601" s="24"/>
    </row>
    <row r="602" spans="1:13" ht="13" x14ac:dyDescent="0.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4"/>
      <c r="L602" s="24"/>
      <c r="M602" s="24"/>
    </row>
    <row r="603" spans="1:13" ht="13" x14ac:dyDescent="0.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4"/>
      <c r="L603" s="24"/>
      <c r="M603" s="24"/>
    </row>
    <row r="604" spans="1:13" ht="13" x14ac:dyDescent="0.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4"/>
      <c r="L604" s="24"/>
      <c r="M604" s="24"/>
    </row>
    <row r="605" spans="1:13" ht="13" x14ac:dyDescent="0.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4"/>
      <c r="L605" s="24"/>
      <c r="M605" s="24"/>
    </row>
    <row r="606" spans="1:13" ht="13" x14ac:dyDescent="0.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4"/>
      <c r="L606" s="24"/>
      <c r="M606" s="24"/>
    </row>
    <row r="607" spans="1:13" ht="13" x14ac:dyDescent="0.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4"/>
      <c r="L607" s="24"/>
      <c r="M607" s="24"/>
    </row>
    <row r="608" spans="1:13" ht="13" x14ac:dyDescent="0.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4"/>
      <c r="L608" s="24"/>
      <c r="M608" s="24"/>
    </row>
    <row r="609" spans="1:13" ht="13" x14ac:dyDescent="0.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4"/>
      <c r="L609" s="24"/>
      <c r="M609" s="24"/>
    </row>
    <row r="610" spans="1:13" ht="13" x14ac:dyDescent="0.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4"/>
      <c r="L610" s="24"/>
      <c r="M610" s="24"/>
    </row>
    <row r="611" spans="1:13" ht="13" x14ac:dyDescent="0.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4"/>
      <c r="L611" s="24"/>
      <c r="M611" s="24"/>
    </row>
    <row r="612" spans="1:13" ht="13" x14ac:dyDescent="0.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4"/>
      <c r="L612" s="24"/>
      <c r="M612" s="24"/>
    </row>
    <row r="613" spans="1:13" ht="13" x14ac:dyDescent="0.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4"/>
      <c r="L613" s="24"/>
      <c r="M613" s="24"/>
    </row>
    <row r="614" spans="1:13" ht="13" x14ac:dyDescent="0.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4"/>
      <c r="L614" s="24"/>
      <c r="M614" s="24"/>
    </row>
    <row r="615" spans="1:13" ht="13" x14ac:dyDescent="0.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4"/>
      <c r="L615" s="24"/>
      <c r="M615" s="24"/>
    </row>
    <row r="616" spans="1:13" ht="13" x14ac:dyDescent="0.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4"/>
      <c r="L616" s="24"/>
      <c r="M616" s="24"/>
    </row>
    <row r="617" spans="1:13" ht="13" x14ac:dyDescent="0.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4"/>
      <c r="L617" s="24"/>
      <c r="M617" s="24"/>
    </row>
    <row r="618" spans="1:13" ht="13" x14ac:dyDescent="0.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4"/>
      <c r="L618" s="24"/>
      <c r="M618" s="24"/>
    </row>
    <row r="619" spans="1:13" ht="13" x14ac:dyDescent="0.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4"/>
      <c r="L619" s="24"/>
      <c r="M619" s="24"/>
    </row>
    <row r="620" spans="1:13" ht="13" x14ac:dyDescent="0.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4"/>
      <c r="L620" s="24"/>
      <c r="M620" s="24"/>
    </row>
    <row r="621" spans="1:13" ht="13" x14ac:dyDescent="0.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4"/>
      <c r="L621" s="24"/>
      <c r="M621" s="24"/>
    </row>
    <row r="622" spans="1:13" ht="13" x14ac:dyDescent="0.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4"/>
      <c r="L622" s="24"/>
      <c r="M622" s="24"/>
    </row>
    <row r="623" spans="1:13" ht="13" x14ac:dyDescent="0.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4"/>
      <c r="L623" s="24"/>
      <c r="M623" s="24"/>
    </row>
    <row r="624" spans="1:13" ht="13" x14ac:dyDescent="0.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4"/>
      <c r="L624" s="24"/>
      <c r="M624" s="24"/>
    </row>
    <row r="625" spans="1:13" ht="13" x14ac:dyDescent="0.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4"/>
      <c r="L625" s="24"/>
      <c r="M625" s="24"/>
    </row>
    <row r="626" spans="1:13" ht="13" x14ac:dyDescent="0.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4"/>
      <c r="L626" s="24"/>
      <c r="M626" s="24"/>
    </row>
    <row r="627" spans="1:13" ht="13" x14ac:dyDescent="0.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4"/>
      <c r="L627" s="24"/>
      <c r="M627" s="24"/>
    </row>
    <row r="628" spans="1:13" ht="13" x14ac:dyDescent="0.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4"/>
      <c r="L628" s="24"/>
      <c r="M628" s="24"/>
    </row>
    <row r="629" spans="1:13" ht="13" x14ac:dyDescent="0.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4"/>
      <c r="L629" s="24"/>
      <c r="M629" s="24"/>
    </row>
    <row r="630" spans="1:13" ht="13" x14ac:dyDescent="0.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4"/>
      <c r="L630" s="24"/>
      <c r="M630" s="24"/>
    </row>
    <row r="631" spans="1:13" ht="13" x14ac:dyDescent="0.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4"/>
      <c r="L631" s="24"/>
      <c r="M631" s="24"/>
    </row>
    <row r="632" spans="1:13" ht="13" x14ac:dyDescent="0.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4"/>
      <c r="L632" s="24"/>
      <c r="M632" s="24"/>
    </row>
    <row r="633" spans="1:13" ht="13" x14ac:dyDescent="0.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4"/>
      <c r="L633" s="24"/>
      <c r="M633" s="24"/>
    </row>
    <row r="634" spans="1:13" ht="13" x14ac:dyDescent="0.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4"/>
      <c r="L634" s="24"/>
      <c r="M634" s="24"/>
    </row>
    <row r="635" spans="1:13" ht="13" x14ac:dyDescent="0.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4"/>
      <c r="L635" s="24"/>
      <c r="M635" s="24"/>
    </row>
    <row r="636" spans="1:13" ht="13" x14ac:dyDescent="0.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4"/>
      <c r="L636" s="24"/>
      <c r="M636" s="24"/>
    </row>
    <row r="637" spans="1:13" ht="13" x14ac:dyDescent="0.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4"/>
      <c r="L637" s="24"/>
      <c r="M637" s="24"/>
    </row>
    <row r="638" spans="1:13" ht="13" x14ac:dyDescent="0.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4"/>
      <c r="L638" s="24"/>
      <c r="M638" s="24"/>
    </row>
    <row r="639" spans="1:13" ht="13" x14ac:dyDescent="0.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4"/>
      <c r="L639" s="24"/>
      <c r="M639" s="24"/>
    </row>
    <row r="640" spans="1:13" ht="13" x14ac:dyDescent="0.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4"/>
      <c r="L640" s="24"/>
      <c r="M640" s="24"/>
    </row>
    <row r="641" spans="1:13" ht="13" x14ac:dyDescent="0.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4"/>
      <c r="L641" s="24"/>
      <c r="M641" s="24"/>
    </row>
    <row r="642" spans="1:13" ht="13" x14ac:dyDescent="0.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4"/>
      <c r="L642" s="24"/>
      <c r="M642" s="24"/>
    </row>
    <row r="643" spans="1:13" ht="13" x14ac:dyDescent="0.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4"/>
      <c r="L643" s="24"/>
      <c r="M643" s="24"/>
    </row>
    <row r="644" spans="1:13" ht="13" x14ac:dyDescent="0.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4"/>
      <c r="L644" s="24"/>
      <c r="M644" s="24"/>
    </row>
    <row r="645" spans="1:13" ht="13" x14ac:dyDescent="0.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4"/>
      <c r="L645" s="24"/>
      <c r="M645" s="24"/>
    </row>
    <row r="646" spans="1:13" ht="13" x14ac:dyDescent="0.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4"/>
      <c r="L646" s="24"/>
      <c r="M646" s="24"/>
    </row>
    <row r="647" spans="1:13" ht="13" x14ac:dyDescent="0.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4"/>
      <c r="L647" s="24"/>
      <c r="M647" s="24"/>
    </row>
    <row r="648" spans="1:13" ht="13" x14ac:dyDescent="0.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4"/>
      <c r="L648" s="24"/>
      <c r="M648" s="24"/>
    </row>
    <row r="649" spans="1:13" ht="13" x14ac:dyDescent="0.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4"/>
      <c r="L649" s="24"/>
      <c r="M649" s="24"/>
    </row>
    <row r="650" spans="1:13" ht="13" x14ac:dyDescent="0.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4"/>
      <c r="L650" s="24"/>
      <c r="M650" s="24"/>
    </row>
    <row r="651" spans="1:13" ht="13" x14ac:dyDescent="0.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4"/>
      <c r="L651" s="24"/>
      <c r="M651" s="24"/>
    </row>
    <row r="652" spans="1:13" ht="13" x14ac:dyDescent="0.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4"/>
      <c r="L652" s="24"/>
      <c r="M652" s="24"/>
    </row>
    <row r="653" spans="1:13" ht="13" x14ac:dyDescent="0.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4"/>
      <c r="L653" s="24"/>
      <c r="M653" s="24"/>
    </row>
    <row r="654" spans="1:13" ht="13" x14ac:dyDescent="0.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4"/>
      <c r="L654" s="24"/>
      <c r="M654" s="24"/>
    </row>
    <row r="655" spans="1:13" ht="13" x14ac:dyDescent="0.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4"/>
      <c r="L655" s="24"/>
      <c r="M655" s="24"/>
    </row>
    <row r="656" spans="1:13" ht="13" x14ac:dyDescent="0.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4"/>
      <c r="L656" s="24"/>
      <c r="M656" s="24"/>
    </row>
    <row r="657" spans="1:13" ht="13" x14ac:dyDescent="0.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4"/>
      <c r="L657" s="24"/>
      <c r="M657" s="24"/>
    </row>
    <row r="658" spans="1:13" ht="13" x14ac:dyDescent="0.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4"/>
      <c r="L658" s="24"/>
      <c r="M658" s="24"/>
    </row>
    <row r="659" spans="1:13" ht="13" x14ac:dyDescent="0.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4"/>
      <c r="L659" s="24"/>
      <c r="M659" s="24"/>
    </row>
    <row r="660" spans="1:13" ht="13" x14ac:dyDescent="0.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4"/>
      <c r="L660" s="24"/>
      <c r="M660" s="24"/>
    </row>
    <row r="661" spans="1:13" ht="13" x14ac:dyDescent="0.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4"/>
      <c r="L661" s="24"/>
      <c r="M661" s="24"/>
    </row>
    <row r="662" spans="1:13" ht="13" x14ac:dyDescent="0.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4"/>
      <c r="L662" s="24"/>
      <c r="M662" s="24"/>
    </row>
    <row r="663" spans="1:13" ht="13" x14ac:dyDescent="0.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4"/>
      <c r="L663" s="24"/>
      <c r="M663" s="24"/>
    </row>
    <row r="664" spans="1:13" ht="13" x14ac:dyDescent="0.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4"/>
      <c r="L664" s="24"/>
      <c r="M664" s="24"/>
    </row>
    <row r="665" spans="1:13" ht="13" x14ac:dyDescent="0.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4"/>
      <c r="L665" s="24"/>
      <c r="M665" s="24"/>
    </row>
    <row r="666" spans="1:13" ht="13" x14ac:dyDescent="0.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4"/>
      <c r="L666" s="24"/>
      <c r="M666" s="24"/>
    </row>
    <row r="667" spans="1:13" ht="13" x14ac:dyDescent="0.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4"/>
      <c r="L667" s="24"/>
      <c r="M667" s="24"/>
    </row>
    <row r="668" spans="1:13" ht="13" x14ac:dyDescent="0.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4"/>
      <c r="L668" s="24"/>
      <c r="M668" s="24"/>
    </row>
    <row r="669" spans="1:13" ht="13" x14ac:dyDescent="0.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4"/>
      <c r="L669" s="24"/>
      <c r="M669" s="24"/>
    </row>
    <row r="670" spans="1:13" ht="13" x14ac:dyDescent="0.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4"/>
      <c r="L670" s="24"/>
      <c r="M670" s="24"/>
    </row>
    <row r="671" spans="1:13" ht="13" x14ac:dyDescent="0.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4"/>
      <c r="L671" s="24"/>
      <c r="M671" s="24"/>
    </row>
    <row r="672" spans="1:13" ht="13" x14ac:dyDescent="0.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4"/>
      <c r="L672" s="24"/>
      <c r="M672" s="24"/>
    </row>
    <row r="673" spans="1:13" ht="13" x14ac:dyDescent="0.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4"/>
      <c r="L673" s="24"/>
      <c r="M673" s="24"/>
    </row>
    <row r="674" spans="1:13" ht="13" x14ac:dyDescent="0.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4"/>
      <c r="L674" s="24"/>
      <c r="M674" s="24"/>
    </row>
    <row r="675" spans="1:13" ht="13" x14ac:dyDescent="0.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4"/>
      <c r="L675" s="24"/>
      <c r="M675" s="24"/>
    </row>
    <row r="676" spans="1:13" ht="13" x14ac:dyDescent="0.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4"/>
      <c r="L676" s="24"/>
      <c r="M676" s="24"/>
    </row>
    <row r="677" spans="1:13" ht="13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4"/>
      <c r="L677" s="24"/>
      <c r="M677" s="24"/>
    </row>
    <row r="678" spans="1:13" ht="13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4"/>
      <c r="L678" s="24"/>
      <c r="M678" s="24"/>
    </row>
    <row r="679" spans="1:13" ht="13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4"/>
      <c r="L679" s="24"/>
      <c r="M679" s="24"/>
    </row>
    <row r="680" spans="1:13" ht="13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4"/>
      <c r="L680" s="24"/>
      <c r="M680" s="24"/>
    </row>
    <row r="681" spans="1:13" ht="13" x14ac:dyDescent="0.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4"/>
      <c r="L681" s="24"/>
      <c r="M681" s="24"/>
    </row>
    <row r="682" spans="1:13" ht="13" x14ac:dyDescent="0.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4"/>
      <c r="L682" s="24"/>
      <c r="M682" s="24"/>
    </row>
    <row r="683" spans="1:13" ht="13" x14ac:dyDescent="0.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4"/>
      <c r="L683" s="24"/>
      <c r="M683" s="24"/>
    </row>
    <row r="684" spans="1:13" ht="13" x14ac:dyDescent="0.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4"/>
      <c r="L684" s="24"/>
      <c r="M684" s="24"/>
    </row>
    <row r="685" spans="1:13" ht="13" x14ac:dyDescent="0.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4"/>
      <c r="L685" s="24"/>
      <c r="M685" s="24"/>
    </row>
    <row r="686" spans="1:13" ht="13" x14ac:dyDescent="0.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4"/>
      <c r="L686" s="24"/>
      <c r="M686" s="24"/>
    </row>
    <row r="687" spans="1:13" ht="13" x14ac:dyDescent="0.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4"/>
      <c r="L687" s="24"/>
      <c r="M687" s="24"/>
    </row>
    <row r="688" spans="1:13" ht="13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4"/>
      <c r="L688" s="24"/>
      <c r="M688" s="24"/>
    </row>
    <row r="689" spans="1:13" ht="13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4"/>
      <c r="L689" s="24"/>
      <c r="M689" s="24"/>
    </row>
    <row r="690" spans="1:13" ht="13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4"/>
      <c r="L690" s="24"/>
      <c r="M690" s="24"/>
    </row>
    <row r="691" spans="1:13" ht="13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4"/>
      <c r="L691" s="24"/>
      <c r="M691" s="24"/>
    </row>
    <row r="692" spans="1:13" ht="13" x14ac:dyDescent="0.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4"/>
      <c r="L692" s="24"/>
      <c r="M692" s="24"/>
    </row>
    <row r="693" spans="1:13" ht="13" x14ac:dyDescent="0.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4"/>
      <c r="L693" s="24"/>
      <c r="M693" s="24"/>
    </row>
    <row r="694" spans="1:13" ht="13" x14ac:dyDescent="0.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4"/>
      <c r="L694" s="24"/>
      <c r="M694" s="24"/>
    </row>
    <row r="695" spans="1:13" ht="13" x14ac:dyDescent="0.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4"/>
      <c r="L695" s="24"/>
      <c r="M695" s="24"/>
    </row>
    <row r="696" spans="1:13" ht="13" x14ac:dyDescent="0.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4"/>
      <c r="L696" s="24"/>
      <c r="M696" s="24"/>
    </row>
    <row r="697" spans="1:13" ht="13" x14ac:dyDescent="0.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4"/>
      <c r="L697" s="24"/>
      <c r="M697" s="24"/>
    </row>
    <row r="698" spans="1:13" ht="13" x14ac:dyDescent="0.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4"/>
      <c r="L698" s="24"/>
      <c r="M698" s="24"/>
    </row>
    <row r="699" spans="1:13" ht="13" x14ac:dyDescent="0.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4"/>
      <c r="L699" s="24"/>
      <c r="M699" s="24"/>
    </row>
    <row r="700" spans="1:13" ht="13" x14ac:dyDescent="0.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4"/>
      <c r="L700" s="24"/>
      <c r="M700" s="24"/>
    </row>
    <row r="701" spans="1:13" ht="13" x14ac:dyDescent="0.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4"/>
      <c r="L701" s="24"/>
      <c r="M701" s="24"/>
    </row>
    <row r="702" spans="1:13" ht="13" x14ac:dyDescent="0.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4"/>
      <c r="L702" s="24"/>
      <c r="M702" s="24"/>
    </row>
    <row r="703" spans="1:13" ht="13" x14ac:dyDescent="0.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4"/>
      <c r="L703" s="24"/>
      <c r="M703" s="24"/>
    </row>
    <row r="704" spans="1:13" ht="13" x14ac:dyDescent="0.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4"/>
      <c r="L704" s="24"/>
      <c r="M704" s="24"/>
    </row>
    <row r="705" spans="1:13" ht="13" x14ac:dyDescent="0.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4"/>
      <c r="L705" s="24"/>
      <c r="M705" s="24"/>
    </row>
    <row r="706" spans="1:13" ht="13" x14ac:dyDescent="0.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4"/>
      <c r="L706" s="24"/>
      <c r="M706" s="24"/>
    </row>
    <row r="707" spans="1:13" ht="13" x14ac:dyDescent="0.3">
      <c r="L707" s="24"/>
      <c r="M707" s="24"/>
    </row>
  </sheetData>
  <mergeCells count="8">
    <mergeCell ref="M5:N5"/>
    <mergeCell ref="A84:M84"/>
    <mergeCell ref="I6:J6"/>
    <mergeCell ref="I7:J7"/>
    <mergeCell ref="F6:G6"/>
    <mergeCell ref="A6:D6"/>
    <mergeCell ref="K6:M6"/>
    <mergeCell ref="L7:M7"/>
  </mergeCells>
  <phoneticPr fontId="0" type="noConversion"/>
  <printOptions horizontalCentered="1"/>
  <pageMargins left="0.5" right="0.5" top="0.5" bottom="0.5" header="0.5" footer="0.5"/>
  <pageSetup scale="90" fitToHeight="2" orientation="portrait" r:id="rId1"/>
  <headerFooter alignWithMargins="0"/>
  <rowBreaks count="1" manualBreakCount="1">
    <brk id="50" max="16383" man="1"/>
  </rowBreaks>
  <colBreaks count="1" manualBreakCount="1">
    <brk id="14" max="1048575" man="1"/>
  </colBreaks>
  <ignoredErrors>
    <ignoredError sqref="L89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9" sqref="H9"/>
    </sheetView>
  </sheetViews>
  <sheetFormatPr defaultColWidth="8.81640625" defaultRowHeight="12.5" x14ac:dyDescent="0.25"/>
  <cols>
    <col min="1" max="1" width="22.81640625" customWidth="1"/>
    <col min="2" max="2" width="11.26953125" customWidth="1"/>
    <col min="3" max="3" width="11.1796875" customWidth="1"/>
    <col min="4" max="4" width="10.453125" customWidth="1"/>
    <col min="7" max="7" width="10.26953125" customWidth="1"/>
    <col min="8" max="8" width="10.1796875" customWidth="1"/>
  </cols>
  <sheetData>
    <row r="1" spans="1:9" x14ac:dyDescent="0.25">
      <c r="A1" s="25"/>
      <c r="B1" s="26" t="s">
        <v>72</v>
      </c>
      <c r="C1" s="27" t="s">
        <v>73</v>
      </c>
      <c r="D1" s="26" t="s">
        <v>74</v>
      </c>
      <c r="E1" t="s">
        <v>75</v>
      </c>
      <c r="F1" s="27" t="s">
        <v>76</v>
      </c>
      <c r="G1" t="s">
        <v>77</v>
      </c>
      <c r="H1" t="s">
        <v>79</v>
      </c>
      <c r="I1" s="27" t="s">
        <v>78</v>
      </c>
    </row>
    <row r="2" spans="1:9" x14ac:dyDescent="0.25">
      <c r="A2" s="73" t="s">
        <v>110</v>
      </c>
      <c r="B2" s="91">
        <f>(grass!E86+(grass!E86*0.3)+C2)/2</f>
        <v>21835.9375</v>
      </c>
      <c r="C2" s="91">
        <f>(grass!E86-(grass!E86*0.3))/16</f>
        <v>1421.875</v>
      </c>
      <c r="D2" s="92">
        <f t="shared" ref="D2:D9" si="0">0.06*B2</f>
        <v>1310.15625</v>
      </c>
      <c r="E2" s="91">
        <f t="shared" ref="E2:E9" si="1">0.005*B2</f>
        <v>109.1796875</v>
      </c>
      <c r="F2" s="93">
        <f t="shared" ref="F2:F9" si="2">0.01*B2</f>
        <v>218.359375</v>
      </c>
      <c r="G2" s="91">
        <f t="shared" ref="G2:G9" si="3">SUM(C2:F2)</f>
        <v>3059.5703125</v>
      </c>
      <c r="H2" s="109">
        <f>grass!F86</f>
        <v>400</v>
      </c>
      <c r="I2" s="92">
        <f>G2/H2</f>
        <v>7.64892578125</v>
      </c>
    </row>
    <row r="3" spans="1:9" x14ac:dyDescent="0.25">
      <c r="A3" s="57" t="s">
        <v>91</v>
      </c>
      <c r="B3" s="94">
        <f>(grass!E87+(grass!E87*0.3)+C3)/2</f>
        <v>31242.1875</v>
      </c>
      <c r="C3" s="94">
        <f>(grass!E87-(grass!E87*0.3))/16</f>
        <v>2034.375</v>
      </c>
      <c r="D3" s="95">
        <f t="shared" si="0"/>
        <v>1874.53125</v>
      </c>
      <c r="E3" s="94">
        <f t="shared" si="1"/>
        <v>156.2109375</v>
      </c>
      <c r="F3" s="96">
        <f t="shared" si="2"/>
        <v>312.421875</v>
      </c>
      <c r="G3" s="94">
        <f t="shared" si="3"/>
        <v>4377.5390625</v>
      </c>
      <c r="H3" s="110">
        <f>grass!F87</f>
        <v>400</v>
      </c>
      <c r="I3" s="95">
        <f t="shared" ref="I3:I9" si="4">G3/H3</f>
        <v>10.94384765625</v>
      </c>
    </row>
    <row r="4" spans="1:9" x14ac:dyDescent="0.25">
      <c r="A4" s="57" t="s">
        <v>112</v>
      </c>
      <c r="B4" s="94">
        <f>(grass!E88+(grass!E88*0.3)+C4)/2</f>
        <v>24187.5</v>
      </c>
      <c r="C4" s="94">
        <f>(grass!E88-(grass!E88*0.3))/16</f>
        <v>1575</v>
      </c>
      <c r="D4" s="95">
        <f t="shared" si="0"/>
        <v>1451.25</v>
      </c>
      <c r="E4" s="94">
        <f t="shared" si="1"/>
        <v>120.9375</v>
      </c>
      <c r="F4" s="96">
        <f t="shared" si="2"/>
        <v>241.875</v>
      </c>
      <c r="G4" s="94">
        <f t="shared" si="3"/>
        <v>3389.0625</v>
      </c>
      <c r="H4" s="110">
        <f>grass!F88</f>
        <v>400</v>
      </c>
      <c r="I4" s="95">
        <f t="shared" si="4"/>
        <v>8.47265625</v>
      </c>
    </row>
    <row r="5" spans="1:9" x14ac:dyDescent="0.25">
      <c r="A5" s="57" t="s">
        <v>111</v>
      </c>
      <c r="B5" s="107">
        <f>(grass!E89+(grass!E89*0.3)+C5)/2</f>
        <v>10750</v>
      </c>
      <c r="C5" s="108">
        <f>(grass!E89-(grass!E89*0.3))/16</f>
        <v>700</v>
      </c>
      <c r="D5" s="108">
        <v>303.75</v>
      </c>
      <c r="E5" s="108">
        <v>25.3125</v>
      </c>
      <c r="F5" s="108">
        <v>50.625</v>
      </c>
      <c r="G5" s="94">
        <f t="shared" si="3"/>
        <v>1079.6875</v>
      </c>
      <c r="H5" s="110">
        <f>grass!F89</f>
        <v>400</v>
      </c>
      <c r="I5" s="95">
        <f t="shared" si="4"/>
        <v>2.69921875</v>
      </c>
    </row>
    <row r="6" spans="1:9" x14ac:dyDescent="0.25">
      <c r="A6" s="57" t="s">
        <v>52</v>
      </c>
      <c r="B6" s="94">
        <f>(grass!E90+(grass!E90*0.4)+C6)/2</f>
        <v>8850</v>
      </c>
      <c r="C6" s="94">
        <f>(grass!E90-(grass!E90*0.4))/8</f>
        <v>900</v>
      </c>
      <c r="D6" s="95">
        <f t="shared" si="0"/>
        <v>531</v>
      </c>
      <c r="E6" s="94">
        <f t="shared" si="1"/>
        <v>44.25</v>
      </c>
      <c r="F6" s="96">
        <f t="shared" si="2"/>
        <v>88.5</v>
      </c>
      <c r="G6" s="94">
        <f t="shared" si="3"/>
        <v>1563.75</v>
      </c>
      <c r="H6" s="110">
        <v>2000</v>
      </c>
      <c r="I6" s="95">
        <f t="shared" si="4"/>
        <v>0.78187499999999999</v>
      </c>
    </row>
    <row r="7" spans="1:9" x14ac:dyDescent="0.25">
      <c r="A7" s="57" t="s">
        <v>113</v>
      </c>
      <c r="B7" s="94">
        <f>(grass!E91+(grass!E91*0.4)+C7)/2</f>
        <v>54575</v>
      </c>
      <c r="C7" s="94">
        <f>(grass!E91-(grass!E91*0.4))/8</f>
        <v>5550</v>
      </c>
      <c r="D7" s="95">
        <f>0.06*B7</f>
        <v>3274.5</v>
      </c>
      <c r="E7" s="94">
        <f>0.005*B7</f>
        <v>272.875</v>
      </c>
      <c r="F7" s="96">
        <f>0.01*B7</f>
        <v>545.75</v>
      </c>
      <c r="G7" s="94">
        <f>SUM(C7:F7)</f>
        <v>9643.125</v>
      </c>
      <c r="H7" s="110">
        <v>400</v>
      </c>
      <c r="I7" s="95">
        <f>G7/H7</f>
        <v>24.107812500000001</v>
      </c>
    </row>
    <row r="8" spans="1:9" x14ac:dyDescent="0.25">
      <c r="A8" s="57" t="s">
        <v>114</v>
      </c>
      <c r="B8" s="94">
        <f>(grass!E92+(grass!E92*0.4)+C8)/2</f>
        <v>29500</v>
      </c>
      <c r="C8" s="94">
        <f>(grass!E92-(grass!E92*0.4))/8</f>
        <v>3000</v>
      </c>
      <c r="D8" s="95">
        <f>0.06*B8</f>
        <v>1770</v>
      </c>
      <c r="E8" s="94">
        <f>0.005*B8</f>
        <v>147.5</v>
      </c>
      <c r="F8" s="96">
        <f>0.01*B8</f>
        <v>295</v>
      </c>
      <c r="G8" s="94">
        <f>SUM(C8:F8)</f>
        <v>5212.5</v>
      </c>
      <c r="H8" s="110">
        <v>400</v>
      </c>
      <c r="I8" s="95">
        <f>G8/H8</f>
        <v>13.03125</v>
      </c>
    </row>
    <row r="9" spans="1:9" x14ac:dyDescent="0.25">
      <c r="A9" s="61" t="s">
        <v>53</v>
      </c>
      <c r="B9" s="97">
        <f>(grass!E93+(grass!E93*0.3)+C9)/2</f>
        <v>24281.25</v>
      </c>
      <c r="C9" s="97">
        <f>(grass!E93-(grass!E93*0.3))/8</f>
        <v>3062.5</v>
      </c>
      <c r="D9" s="98">
        <f t="shared" si="0"/>
        <v>1456.875</v>
      </c>
      <c r="E9" s="97">
        <f t="shared" si="1"/>
        <v>121.40625</v>
      </c>
      <c r="F9" s="99">
        <f t="shared" si="2"/>
        <v>242.8125</v>
      </c>
      <c r="G9" s="97">
        <f t="shared" si="3"/>
        <v>4883.59375</v>
      </c>
      <c r="H9" s="111">
        <v>2000</v>
      </c>
      <c r="I9" s="98">
        <f t="shared" si="4"/>
        <v>2.4417968750000001</v>
      </c>
    </row>
  </sheetData>
  <phoneticPr fontId="15" type="noConversion"/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grass</vt:lpstr>
      <vt:lpstr>Machinery Costs</vt:lpstr>
      <vt:lpstr>grass!Print_Area</vt:lpstr>
      <vt:lpstr>'Machinery Costs'!Print_Area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2016-06-16T20:03:27Z</cp:lastPrinted>
  <dcterms:created xsi:type="dcterms:W3CDTF">2002-12-27T16:15:25Z</dcterms:created>
  <dcterms:modified xsi:type="dcterms:W3CDTF">2016-12-01T16:34:42Z</dcterms:modified>
</cp:coreProperties>
</file>