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slaughtersteer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N20" i="1" l="1"/>
  <c r="N19" i="1"/>
  <c r="N18" i="1"/>
  <c r="N17" i="1"/>
  <c r="M20" i="1"/>
  <c r="M19" i="1"/>
  <c r="M18" i="1"/>
  <c r="M17" i="1"/>
  <c r="M21" i="1" s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C25" i="2"/>
  <c r="E25" i="2"/>
  <c r="D25" i="2" s="1"/>
  <c r="C24" i="2"/>
  <c r="E24" i="2" s="1"/>
  <c r="C12" i="2"/>
  <c r="E12" i="2"/>
  <c r="D12" i="2" s="1"/>
  <c r="C11" i="2"/>
  <c r="E11" i="2" s="1"/>
  <c r="C10" i="2"/>
  <c r="D10" i="2" s="1"/>
  <c r="E10" i="2"/>
  <c r="C9" i="2"/>
  <c r="C8" i="2"/>
  <c r="E8" i="2"/>
  <c r="C7" i="2"/>
  <c r="E7" i="2" s="1"/>
  <c r="C6" i="2"/>
  <c r="E6" i="2" s="1"/>
  <c r="C5" i="2"/>
  <c r="E5" i="2" s="1"/>
  <c r="C4" i="2"/>
  <c r="E4" i="2"/>
  <c r="D4" i="2" s="1"/>
  <c r="C3" i="2"/>
  <c r="N26" i="1"/>
  <c r="M26" i="1"/>
  <c r="N16" i="1"/>
  <c r="N21" i="1"/>
  <c r="M16" i="1"/>
  <c r="N10" i="1"/>
  <c r="N12" i="1" s="1"/>
  <c r="M10" i="1"/>
  <c r="M12" i="1" s="1"/>
  <c r="M23" i="1"/>
  <c r="F28" i="1"/>
  <c r="M28" i="1" s="1"/>
  <c r="N23" i="1"/>
  <c r="L33" i="1"/>
  <c r="L30" i="1"/>
  <c r="L44" i="1" s="1"/>
  <c r="M33" i="1"/>
  <c r="N33" i="1"/>
  <c r="E3" i="2"/>
  <c r="G12" i="2"/>
  <c r="G4" i="2"/>
  <c r="N28" i="1"/>
  <c r="N30" i="1"/>
  <c r="D8" i="2"/>
  <c r="H8" i="2" s="1"/>
  <c r="F8" i="2"/>
  <c r="F25" i="2"/>
  <c r="F10" i="2"/>
  <c r="D3" i="2" l="1"/>
  <c r="N44" i="1"/>
  <c r="N36" i="1"/>
  <c r="L36" i="1"/>
  <c r="L38" i="1" s="1"/>
  <c r="L40" i="1" s="1"/>
  <c r="L45" i="1" s="1"/>
  <c r="L46" i="1" s="1"/>
  <c r="J8" i="2"/>
  <c r="L8" i="2" s="1"/>
  <c r="G10" i="2"/>
  <c r="H10" i="2"/>
  <c r="D5" i="2"/>
  <c r="G25" i="2"/>
  <c r="H25" i="2"/>
  <c r="J25" i="2" s="1"/>
  <c r="L25" i="2" s="1"/>
  <c r="M30" i="1"/>
  <c r="M44" i="1" s="1"/>
  <c r="F12" i="2"/>
  <c r="H12" i="2"/>
  <c r="J12" i="2" s="1"/>
  <c r="L12" i="2" s="1"/>
  <c r="M36" i="1"/>
  <c r="H4" i="2"/>
  <c r="F4" i="2"/>
  <c r="J4" i="2" s="1"/>
  <c r="L4" i="2" s="1"/>
  <c r="D7" i="2"/>
  <c r="J10" i="2"/>
  <c r="L10" i="2" s="1"/>
  <c r="E9" i="2"/>
  <c r="G8" i="2"/>
  <c r="D24" i="2"/>
  <c r="D6" i="2"/>
  <c r="D11" i="2"/>
  <c r="G6" i="2" l="1"/>
  <c r="F6" i="2"/>
  <c r="H6" i="2"/>
  <c r="G3" i="2"/>
  <c r="F3" i="2"/>
  <c r="H3" i="2"/>
  <c r="H24" i="2"/>
  <c r="F24" i="2"/>
  <c r="J24" i="2" s="1"/>
  <c r="L24" i="2" s="1"/>
  <c r="L26" i="2" s="1"/>
  <c r="G24" i="2"/>
  <c r="G7" i="2"/>
  <c r="H7" i="2"/>
  <c r="F7" i="2"/>
  <c r="J7" i="2" s="1"/>
  <c r="L7" i="2" s="1"/>
  <c r="D9" i="2"/>
  <c r="G11" i="2"/>
  <c r="F11" i="2"/>
  <c r="H11" i="2"/>
  <c r="G5" i="2"/>
  <c r="F5" i="2"/>
  <c r="H5" i="2"/>
  <c r="J5" i="2" l="1"/>
  <c r="L5" i="2" s="1"/>
  <c r="N34" i="1"/>
  <c r="M34" i="1"/>
  <c r="J11" i="2"/>
  <c r="L11" i="2" s="1"/>
  <c r="F9" i="2"/>
  <c r="J9" i="2" s="1"/>
  <c r="L9" i="2" s="1"/>
  <c r="H9" i="2"/>
  <c r="G9" i="2"/>
  <c r="J3" i="2"/>
  <c r="L3" i="2" s="1"/>
  <c r="J6" i="2"/>
  <c r="L6" i="2" s="1"/>
  <c r="L13" i="2" l="1"/>
  <c r="N35" i="1" l="1"/>
  <c r="N38" i="1" s="1"/>
  <c r="N40" i="1" s="1"/>
  <c r="N45" i="1" s="1"/>
  <c r="N46" i="1" s="1"/>
  <c r="M35" i="1"/>
  <c r="M38" i="1" s="1"/>
  <c r="M40" i="1" s="1"/>
  <c r="M45" i="1" s="1"/>
  <c r="M46" i="1" s="1"/>
</calcChain>
</file>

<file path=xl/sharedStrings.xml><?xml version="1.0" encoding="utf-8"?>
<sst xmlns="http://schemas.openxmlformats.org/spreadsheetml/2006/main" count="149" uniqueCount="121">
  <si>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</si>
  <si>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</si>
  <si>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</si>
  <si>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</si>
  <si>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</si>
  <si>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</si>
  <si>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</si>
  <si>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</si>
  <si>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</si>
  <si>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</si>
  <si>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</si>
  <si>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</si>
  <si>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</si>
  <si>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</si>
  <si>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</si>
  <si>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</si>
  <si>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</si>
  <si>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>Values highlighted in gray are stand alone cells that require direct input from the user.</t>
  </si>
  <si>
    <t>the spreadsheet.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</si>
  <si>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</si>
  <si>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</si>
  <si>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</si>
  <si>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</si>
  <si>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</si>
  <si>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</si>
  <si>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</si>
  <si>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</si>
  <si>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</si>
  <si>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Steer</t>
  </si>
  <si>
    <t>Mineral</t>
  </si>
  <si>
    <t>Corn</t>
  </si>
  <si>
    <t>Death Loss</t>
  </si>
  <si>
    <t>Soybean Meal</t>
  </si>
  <si>
    <t>Corn Silage</t>
  </si>
  <si>
    <t>550-1250 lbs, Days on Feed: 232</t>
  </si>
  <si>
    <t>TOTAL FEED COSTS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</si>
  <si>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</si>
  <si>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>Authors:</t>
  </si>
  <si>
    <t>Stan Smith, Extension P.A., Fairfield County</t>
  </si>
  <si>
    <t>Steve Boyles, Extension Beef Specialist</t>
  </si>
  <si>
    <t>Barry Ward, Leader, Production Business Management</t>
  </si>
  <si>
    <t xml:space="preserve">Values highlighted in gold may be changed to assist in computing "Your Budget" Column using formulas embeded within  </t>
  </si>
  <si>
    <t>Values highlighted in light blue are cells embedded with formulas and will be calculted for the user based on data entered.</t>
  </si>
  <si>
    <t>These cells may be input manually, but formulas will be overwritten!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</si>
  <si>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</si>
  <si>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</si>
  <si>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</si>
  <si>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</si>
  <si>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</si>
  <si>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</si>
  <si>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</si>
  <si>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</si>
  <si>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</si>
  <si>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</si>
  <si>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</si>
  <si>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</si>
  <si>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</si>
  <si>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</si>
  <si>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</si>
  <si>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</si>
  <si>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</si>
  <si>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</si>
  <si>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</si>
  <si>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</si>
  <si>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</si>
  <si>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</si>
  <si>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</si>
  <si>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</si>
  <si>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</si>
  <si>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</si>
  <si>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</si>
  <si>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</si>
  <si>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</si>
  <si>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</si>
  <si>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t>Click here or click 'Buildings and Equipment' below for specific cost calculations</t>
  </si>
  <si>
    <t xml:space="preserve">5% of gross minus steer cost. </t>
  </si>
  <si>
    <t>Return to labor and management is the revenue less total expenses except operator labor and management.</t>
  </si>
  <si>
    <t>It is a measure of the returns to the operator's labor and management.</t>
  </si>
  <si>
    <t>Concrete</t>
  </si>
  <si>
    <t>Days on Feed</t>
  </si>
  <si>
    <t>/bu</t>
  </si>
  <si>
    <t>Manure Nutrients</t>
  </si>
  <si>
    <t>Other</t>
  </si>
  <si>
    <t>Bedding</t>
  </si>
  <si>
    <t xml:space="preserve">1250 lbs. gross weight less 1.2% death loss </t>
  </si>
  <si>
    <t>Labor includes cost for wages and benefits</t>
  </si>
  <si>
    <t xml:space="preserve">Feed </t>
  </si>
  <si>
    <t xml:space="preserve">Yearling Steer </t>
  </si>
  <si>
    <r>
      <t xml:space="preserve">Health Program </t>
    </r>
    <r>
      <rPr>
        <vertAlign val="superscript"/>
        <sz val="10"/>
        <rFont val="Arial"/>
        <family val="2"/>
      </rPr>
      <t>2</t>
    </r>
  </si>
  <si>
    <r>
      <t xml:space="preserve">Marketing </t>
    </r>
    <r>
      <rPr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</si>
  <si>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</si>
  <si>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</si>
  <si>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</si>
  <si>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Equipment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</si>
  <si>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</si>
  <si>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</si>
  <si>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</si>
  <si>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t>Costs of supplies other expenses estimated by authors based on industry experience and expertise</t>
  </si>
  <si>
    <t>Costs of marketing estimated by authors based on industry experience and expertise, includes transportation</t>
  </si>
  <si>
    <t xml:space="preserve">Costs of health program estimated by authors based on industry experience and expertise, includes dewormer, fly control, two rounds of vaccinations </t>
  </si>
  <si>
    <t>and growth promoters</t>
  </si>
  <si>
    <t xml:space="preserve">Includes full cost of feeder steer plus 1/2 cost of feed, vet &amp; med. and utilities for 6.5 mo. at 5% int. </t>
  </si>
  <si>
    <t>David Dugan, Extension Educator. ANR, Brown, Adams and Highland Counties</t>
  </si>
  <si>
    <t>Jeff Fisher, Extension Educator, Pike County</t>
  </si>
  <si>
    <t>Seth Wilkerson, AEDE Undergraduate Student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</si>
  <si>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</si>
  <si>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</si>
  <si>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</si>
  <si>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6%</t>
    </r>
  </si>
  <si>
    <t>Assumes purchase of new equipment, straight -line depreciation over 10 years, Interest of 6%, Housing of 1%,</t>
  </si>
  <si>
    <t>Assumes purchase of new building, straight-line depreciation over 30 years, Interest of 6%, Property Taxes of 0.5%,</t>
  </si>
  <si>
    <t>tons</t>
  </si>
  <si>
    <t>Mike Estadt, Extension Educator, Pickaway County</t>
  </si>
  <si>
    <r>
      <t>Deprec.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</si>
  <si>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</si>
  <si>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</si>
  <si>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 xml:space="preserve"> Insurance of .5%, and Repairs of 2%. </t>
  </si>
  <si>
    <t xml:space="preserve"> Insurance of .5% and Repairs of 1%</t>
  </si>
  <si>
    <t>John Grimes, Extension Beef Coordinator, Highland County</t>
  </si>
  <si>
    <t>2013 Market Steer Budget</t>
  </si>
  <si>
    <t>Trey Miller, AEDE Undergraduate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</si>
</sst>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72" formatCode="0.0%"/>
    <numFmt numFmtId="173" formatCode="_(* #,##0_);_(* \(#,##0\);_(* &quot;-&quot;??_);_(@_)"/>
    <numFmt numFmtId="176" formatCode="&quot;$&quot;#,##0.000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DB4E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72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0" fontId="6" fillId="0" borderId="0" xfId="0" applyFont="1"/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Alignment="1"/>
    <xf numFmtId="165" fontId="7" fillId="3" borderId="0" xfId="0" applyNumberFormat="1" applyFont="1" applyFill="1"/>
    <xf numFmtId="0" fontId="7" fillId="3" borderId="0" xfId="0" applyFont="1" applyFill="1"/>
    <xf numFmtId="2" fontId="8" fillId="0" borderId="0" xfId="0" applyNumberFormat="1" applyFont="1" applyBorder="1"/>
    <xf numFmtId="0" fontId="8" fillId="0" borderId="0" xfId="0" applyFont="1"/>
    <xf numFmtId="2" fontId="8" fillId="0" borderId="0" xfId="0" applyNumberFormat="1" applyFont="1"/>
    <xf numFmtId="2" fontId="0" fillId="0" borderId="1" xfId="0" applyNumberFormat="1" applyBorder="1"/>
    <xf numFmtId="0" fontId="2" fillId="0" borderId="0" xfId="0" applyNumberFormat="1" applyFont="1" applyFill="1"/>
    <xf numFmtId="43" fontId="2" fillId="0" borderId="0" xfId="0" applyNumberFormat="1" applyFont="1"/>
    <xf numFmtId="0" fontId="8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9" fillId="0" borderId="0" xfId="0" applyFont="1" applyFill="1" applyBorder="1"/>
    <xf numFmtId="0" fontId="2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76" fontId="7" fillId="0" borderId="0" xfId="0" applyNumberFormat="1" applyFont="1" applyFill="1"/>
    <xf numFmtId="0" fontId="7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1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172" fontId="7" fillId="3" borderId="0" xfId="0" applyNumberFormat="1" applyFont="1" applyFill="1"/>
    <xf numFmtId="9" fontId="7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165" fontId="7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65" fontId="2" fillId="0" borderId="0" xfId="0" applyNumberFormat="1" applyFont="1"/>
    <xf numFmtId="0" fontId="0" fillId="0" borderId="1" xfId="0" applyBorder="1"/>
    <xf numFmtId="2" fontId="2" fillId="0" borderId="4" xfId="0" applyNumberFormat="1" applyFont="1" applyFill="1" applyBorder="1"/>
    <xf numFmtId="2" fontId="7" fillId="3" borderId="0" xfId="0" applyNumberFormat="1" applyFont="1" applyFill="1"/>
    <xf numFmtId="172" fontId="12" fillId="3" borderId="0" xfId="0" applyNumberFormat="1" applyFont="1" applyFill="1"/>
    <xf numFmtId="0" fontId="7" fillId="0" borderId="0" xfId="0" applyNumberFormat="1" applyFont="1" applyFill="1"/>
    <xf numFmtId="0" fontId="0" fillId="0" borderId="0" xfId="0" applyFill="1" applyBorder="1"/>
    <xf numFmtId="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8" fillId="0" borderId="0" xfId="0" applyNumberFormat="1" applyFont="1" applyFill="1" applyBorder="1" applyAlignment="1">
      <alignment horizontal="center"/>
    </xf>
    <xf numFmtId="164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2" fontId="8" fillId="0" borderId="0" xfId="0" quotePrefix="1" applyNumberFormat="1" applyFont="1" applyFill="1" applyBorder="1" applyAlignment="1">
      <alignment horizontal="center"/>
    </xf>
    <xf numFmtId="39" fontId="8" fillId="0" borderId="0" xfId="0" applyNumberFormat="1" applyFont="1" applyFill="1" applyBorder="1" applyAlignment="1">
      <alignment horizontal="center"/>
    </xf>
    <xf numFmtId="9" fontId="8" fillId="0" borderId="0" xfId="4" applyFont="1" applyFill="1" applyBorder="1"/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73" fontId="9" fillId="0" borderId="0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9" fillId="0" borderId="0" xfId="4" applyFont="1" applyFill="1" applyBorder="1" applyAlignment="1">
      <alignment horizontal="right"/>
    </xf>
    <xf numFmtId="9" fontId="8" fillId="0" borderId="0" xfId="4" applyFont="1" applyFill="1" applyBorder="1" applyAlignment="1">
      <alignment horizontal="right"/>
    </xf>
    <xf numFmtId="173" fontId="8" fillId="0" borderId="0" xfId="1" applyNumberFormat="1" applyFont="1" applyFill="1" applyBorder="1"/>
    <xf numFmtId="2" fontId="9" fillId="0" borderId="0" xfId="0" applyNumberFormat="1" applyFont="1" applyFill="1" applyBorder="1"/>
    <xf numFmtId="173" fontId="9" fillId="0" borderId="0" xfId="0" applyNumberFormat="1" applyFont="1" applyFill="1" applyBorder="1" applyAlignment="1">
      <alignment horizontal="right"/>
    </xf>
    <xf numFmtId="7" fontId="9" fillId="0" borderId="0" xfId="2" applyNumberFormat="1" applyFont="1" applyFill="1" applyBorder="1"/>
    <xf numFmtId="0" fontId="10" fillId="0" borderId="0" xfId="3" applyFill="1" applyBorder="1" applyAlignment="1" applyProtection="1"/>
    <xf numFmtId="17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14" fillId="0" borderId="0" xfId="0" applyFont="1"/>
    <xf numFmtId="4" fontId="4" fillId="5" borderId="0" xfId="0" applyNumberFormat="1" applyFont="1" applyFill="1"/>
    <xf numFmtId="43" fontId="4" fillId="5" borderId="0" xfId="0" applyNumberFormat="1" applyFont="1" applyFill="1"/>
    <xf numFmtId="4" fontId="4" fillId="5" borderId="0" xfId="0" applyNumberFormat="1" applyFont="1" applyFill="1" applyBorder="1"/>
    <xf numFmtId="2" fontId="4" fillId="5" borderId="4" xfId="0" applyNumberFormat="1" applyFont="1" applyFill="1" applyBorder="1"/>
    <xf numFmtId="43" fontId="4" fillId="5" borderId="0" xfId="0" applyNumberFormat="1" applyFont="1" applyFill="1" applyBorder="1"/>
    <xf numFmtId="165" fontId="4" fillId="5" borderId="0" xfId="0" applyNumberFormat="1" applyFont="1" applyFill="1"/>
    <xf numFmtId="6" fontId="7" fillId="5" borderId="0" xfId="0" applyNumberFormat="1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6" fontId="8" fillId="6" borderId="0" xfId="0" applyNumberFormat="1" applyFont="1" applyFill="1" applyBorder="1"/>
    <xf numFmtId="6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0" applyNumberFormat="1"/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6" fillId="0" borderId="1" xfId="0" applyFont="1" applyBorder="1"/>
    <xf numFmtId="2" fontId="4" fillId="7" borderId="0" xfId="0" applyNumberFormat="1" applyFont="1" applyFill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8" fillId="0" borderId="1" xfId="0" applyFont="1" applyBorder="1"/>
    <xf numFmtId="6" fontId="8" fillId="6" borderId="1" xfId="0" applyNumberFormat="1" applyFont="1" applyFill="1" applyBorder="1"/>
    <xf numFmtId="164" fontId="8" fillId="0" borderId="1" xfId="0" applyNumberFormat="1" applyFont="1" applyBorder="1"/>
    <xf numFmtId="164" fontId="0" fillId="0" borderId="1" xfId="0" applyNumberFormat="1" applyBorder="1"/>
    <xf numFmtId="164" fontId="4" fillId="5" borderId="0" xfId="0" applyNumberFormat="1" applyFont="1" applyFill="1"/>
    <xf numFmtId="0" fontId="0" fillId="6" borderId="0" xfId="0" applyFill="1"/>
    <xf numFmtId="0" fontId="8" fillId="0" borderId="2" xfId="0" applyFont="1" applyBorder="1"/>
    <xf numFmtId="6" fontId="8" fillId="6" borderId="2" xfId="0" applyNumberFormat="1" applyFont="1" applyFill="1" applyBorder="1"/>
    <xf numFmtId="164" fontId="8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4" fillId="7" borderId="1" xfId="0" applyFont="1" applyFill="1" applyBorder="1"/>
    <xf numFmtId="0" fontId="9" fillId="0" borderId="0" xfId="0" applyFont="1"/>
    <xf numFmtId="9" fontId="7" fillId="0" borderId="0" xfId="0" applyNumberFormat="1" applyFont="1" applyFill="1"/>
    <xf numFmtId="0" fontId="10" fillId="0" borderId="0" xfId="3" applyAlignment="1" applyProtection="1"/>
    <xf numFmtId="0" fontId="6" fillId="0" borderId="0" xfId="3" applyFont="1" applyAlignment="1" applyProtection="1"/>
    <xf numFmtId="0" fontId="4" fillId="6" borderId="0" xfId="0" applyFont="1" applyFill="1" applyAlignment="1"/>
    <xf numFmtId="172" fontId="12" fillId="0" borderId="0" xfId="0" applyNumberFormat="1" applyFont="1" applyFill="1"/>
    <xf numFmtId="2" fontId="7" fillId="3" borderId="0" xfId="0" applyNumberFormat="1" applyFont="1" applyFill="1" applyBorder="1" applyAlignment="1">
      <alignment horizontal="right"/>
    </xf>
    <xf numFmtId="165" fontId="4" fillId="8" borderId="0" xfId="0" applyNumberFormat="1" applyFont="1" applyFill="1"/>
    <xf numFmtId="165" fontId="7" fillId="6" borderId="0" xfId="0" applyNumberFormat="1" applyFont="1" applyFill="1"/>
    <xf numFmtId="2" fontId="2" fillId="0" borderId="0" xfId="0" applyNumberFormat="1" applyFont="1" applyFill="1"/>
    <xf numFmtId="0" fontId="7" fillId="6" borderId="0" xfId="0" applyFont="1" applyFill="1"/>
    <xf numFmtId="2" fontId="8" fillId="0" borderId="0" xfId="0" applyNumberFormat="1" applyFont="1" applyFill="1" applyBorder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/>
    <xf numFmtId="2" fontId="9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25400</xdr:rowOff>
    </xdr:from>
    <xdr:to>
      <xdr:col>2</xdr:col>
      <xdr:colOff>476250</xdr:colOff>
      <xdr:row>4</xdr:row>
      <xdr:rowOff>114300</xdr:rowOff>
    </xdr:to>
    <xdr:pic>
      <xdr:nvPicPr>
        <xdr:cNvPr id="1111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5400"/>
          <a:ext cx="7429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selection activeCell="D1" sqref="D1:M1"/>
    </sheetView>
  </sheetViews>
  <sheetFormatPr defaultRowHeight="12.5" x14ac:dyDescent="0.25"/>
  <cols>
    <col min="1" max="1" width="2.81640625" customWidth="1"/>
    <col min="2" max="2" width="2.54296875" customWidth="1"/>
    <col min="4" max="4" width="6.81640625" customWidth="1"/>
    <col min="5" max="5" width="8.81640625" customWidth="1"/>
    <col min="6" max="6" width="9.453125" customWidth="1"/>
    <col min="7" max="7" width="8.453125" customWidth="1"/>
    <col min="8" max="8" width="10.54296875" customWidth="1"/>
    <col min="9" max="9" width="9.7265625" bestFit="1" customWidth="1"/>
    <col min="10" max="10" width="7.26953125" customWidth="1"/>
    <col min="11" max="11" width="10.7265625" style="18" customWidth="1"/>
    <col min="12" max="12" width="1.26953125" style="18" customWidth="1"/>
    <col min="13" max="13" width="10.26953125" style="18" bestFit="1" customWidth="1"/>
    <col min="14" max="14" width="9.26953125" bestFit="1" customWidth="1"/>
  </cols>
  <sheetData>
    <row r="1" spans="1:14" ht="15" customHeight="1" x14ac:dyDescent="0.35">
      <c r="B1" s="24"/>
      <c r="C1" s="24"/>
      <c r="D1" s="173" t="s">
        <v>119</v>
      </c>
      <c r="E1" s="173"/>
      <c r="F1" s="173"/>
      <c r="G1" s="173"/>
      <c r="H1" s="173"/>
      <c r="I1" s="173"/>
      <c r="J1" s="173"/>
      <c r="K1" s="173"/>
      <c r="L1" s="173"/>
      <c r="M1" s="173"/>
      <c r="N1" s="24"/>
    </row>
    <row r="2" spans="1:14" ht="15.75" customHeight="1" x14ac:dyDescent="0.3">
      <c r="A2" s="1"/>
      <c r="B2" s="1"/>
      <c r="C2" s="1"/>
      <c r="D2" s="174" t="s">
        <v>34</v>
      </c>
      <c r="E2" s="174"/>
      <c r="F2" s="174"/>
      <c r="G2" s="174"/>
      <c r="H2" s="174"/>
      <c r="I2" s="174"/>
      <c r="J2" s="174"/>
      <c r="K2" s="174"/>
      <c r="L2" s="174"/>
      <c r="M2" s="174"/>
      <c r="N2" s="1"/>
    </row>
    <row r="3" spans="1:14" ht="15.75" customHeight="1" x14ac:dyDescent="0.3">
      <c r="A3" s="1"/>
      <c r="B3" s="1"/>
      <c r="C3" s="1"/>
      <c r="D3" s="117"/>
      <c r="L3" s="117"/>
      <c r="M3" s="117"/>
      <c r="N3" s="1"/>
    </row>
    <row r="4" spans="1:14" ht="13" x14ac:dyDescent="0.3">
      <c r="A4" s="1"/>
      <c r="B4" s="1"/>
      <c r="C4" s="1"/>
      <c r="D4" s="1"/>
      <c r="L4" s="46" t="s">
        <v>19</v>
      </c>
      <c r="M4" s="2"/>
      <c r="N4" s="47">
        <v>41394</v>
      </c>
    </row>
    <row r="5" spans="1:14" ht="15.5" x14ac:dyDescent="0.35">
      <c r="A5" s="1"/>
      <c r="B5" s="1"/>
      <c r="C5" s="1"/>
      <c r="D5" s="1"/>
      <c r="E5" s="1"/>
      <c r="F5" s="1"/>
      <c r="G5" s="3"/>
      <c r="H5" s="3"/>
      <c r="I5" s="1"/>
      <c r="J5" s="2"/>
      <c r="K5" s="2"/>
      <c r="L5" s="2"/>
      <c r="M5" s="2"/>
      <c r="N5" s="31"/>
    </row>
    <row r="6" spans="1:14" ht="13" x14ac:dyDescent="0.3">
      <c r="A6" s="4"/>
      <c r="B6" s="5" t="s">
        <v>0</v>
      </c>
      <c r="C6" s="5"/>
      <c r="D6" s="5"/>
      <c r="E6" s="5"/>
      <c r="F6" s="171" t="s">
        <v>1</v>
      </c>
      <c r="G6" s="171"/>
      <c r="H6" s="6" t="s">
        <v>14</v>
      </c>
      <c r="I6" s="75"/>
      <c r="J6" s="171" t="s">
        <v>13</v>
      </c>
      <c r="K6" s="171"/>
      <c r="L6" s="30"/>
      <c r="M6" s="71" t="s">
        <v>26</v>
      </c>
      <c r="N6" s="6" t="s">
        <v>2</v>
      </c>
    </row>
    <row r="7" spans="1:14" ht="13" x14ac:dyDescent="0.3">
      <c r="A7" s="7"/>
      <c r="B7" s="7"/>
      <c r="C7" s="7"/>
      <c r="D7" s="7"/>
      <c r="E7" s="7"/>
      <c r="F7" s="7"/>
      <c r="G7" s="7"/>
      <c r="H7" s="9" t="s">
        <v>15</v>
      </c>
      <c r="J7" s="172" t="s">
        <v>12</v>
      </c>
      <c r="K7" s="172"/>
      <c r="L7" s="8"/>
      <c r="M7" s="8"/>
      <c r="N7" s="9" t="s">
        <v>3</v>
      </c>
    </row>
    <row r="8" spans="1:14" ht="13" x14ac:dyDescent="0.3">
      <c r="A8" s="10"/>
      <c r="B8" s="10"/>
      <c r="C8" s="10"/>
      <c r="D8" s="10"/>
      <c r="E8" s="10"/>
      <c r="F8" s="10"/>
      <c r="G8" s="10"/>
      <c r="H8" s="19" t="s">
        <v>16</v>
      </c>
      <c r="I8" s="10"/>
      <c r="J8" s="10"/>
      <c r="K8" s="11"/>
      <c r="L8" s="11"/>
      <c r="M8" s="11"/>
      <c r="N8" s="70"/>
    </row>
    <row r="9" spans="1:14" ht="15" x14ac:dyDescent="0.3">
      <c r="A9" s="13" t="s">
        <v>36</v>
      </c>
      <c r="B9" s="1"/>
      <c r="C9" s="1"/>
      <c r="D9" s="1"/>
      <c r="E9" s="59"/>
      <c r="F9" s="73"/>
      <c r="H9" s="73" t="s">
        <v>31</v>
      </c>
      <c r="I9" s="1"/>
      <c r="J9" s="1"/>
      <c r="K9" s="14"/>
      <c r="L9" s="14"/>
      <c r="M9" s="14"/>
      <c r="N9" s="13"/>
    </row>
    <row r="10" spans="1:14" ht="13" x14ac:dyDescent="0.3">
      <c r="A10" s="1"/>
      <c r="B10" s="1" t="s">
        <v>28</v>
      </c>
      <c r="C10" s="1"/>
      <c r="D10" s="1"/>
      <c r="E10" s="60"/>
      <c r="F10" s="162">
        <v>1250</v>
      </c>
      <c r="G10" t="s">
        <v>27</v>
      </c>
      <c r="H10" s="78">
        <v>1.2E-2</v>
      </c>
      <c r="J10" s="77">
        <v>1.2</v>
      </c>
      <c r="K10" s="31" t="s">
        <v>21</v>
      </c>
      <c r="L10" s="15"/>
      <c r="M10" s="74">
        <f>(($F$10)-($F$10*$H10))*$J10</f>
        <v>1482</v>
      </c>
      <c r="N10" s="115">
        <f>(($F$10)-($F$10*$H10))*$J10</f>
        <v>1482</v>
      </c>
    </row>
    <row r="11" spans="1:14" ht="13" x14ac:dyDescent="0.3">
      <c r="A11" s="1"/>
      <c r="B11" s="1" t="s">
        <v>81</v>
      </c>
      <c r="C11" s="1"/>
      <c r="D11" s="1"/>
      <c r="E11" s="60"/>
      <c r="F11" s="72">
        <v>0</v>
      </c>
      <c r="G11" t="s">
        <v>27</v>
      </c>
      <c r="H11" s="161"/>
      <c r="J11" s="77">
        <v>0</v>
      </c>
      <c r="K11" s="31" t="s">
        <v>5</v>
      </c>
      <c r="L11" s="15"/>
      <c r="M11" s="74">
        <f>F11*(J11/2000)</f>
        <v>0</v>
      </c>
      <c r="N11" s="163">
        <f>F11*(J11/2000)</f>
        <v>0</v>
      </c>
    </row>
    <row r="12" spans="1:14" ht="13" x14ac:dyDescent="0.3">
      <c r="A12" s="13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68"/>
      <c r="L12" s="68"/>
      <c r="M12" s="68">
        <f>SUM(M10:M10)</f>
        <v>1482</v>
      </c>
      <c r="N12" s="114">
        <f>SUM(N10:N10)</f>
        <v>1482</v>
      </c>
    </row>
    <row r="13" spans="1:14" ht="13" x14ac:dyDescent="0.3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3"/>
    </row>
    <row r="14" spans="1:14" ht="13" x14ac:dyDescent="0.3">
      <c r="A14" s="13" t="s">
        <v>4</v>
      </c>
      <c r="B14" s="1"/>
      <c r="C14" s="1"/>
      <c r="D14" s="1"/>
      <c r="E14" s="34"/>
      <c r="F14" s="34" t="s">
        <v>79</v>
      </c>
      <c r="G14" s="34"/>
      <c r="H14" s="160">
        <v>232</v>
      </c>
      <c r="I14" s="1"/>
      <c r="J14" s="1"/>
      <c r="K14" s="14"/>
      <c r="L14" s="14"/>
      <c r="M14" s="14"/>
      <c r="N14" s="23"/>
    </row>
    <row r="15" spans="1:14" ht="13" x14ac:dyDescent="0.3">
      <c r="A15" s="1"/>
      <c r="B15" s="1" t="s">
        <v>86</v>
      </c>
      <c r="C15" s="1"/>
      <c r="D15" s="1"/>
      <c r="E15" s="1"/>
      <c r="F15" s="49"/>
      <c r="G15" s="49"/>
      <c r="H15" s="50"/>
      <c r="I15" s="51"/>
      <c r="J15" s="49"/>
      <c r="K15" s="52"/>
      <c r="L15" s="52"/>
      <c r="M15" s="52"/>
      <c r="N15" s="21"/>
    </row>
    <row r="16" spans="1:14" ht="13" x14ac:dyDescent="0.3">
      <c r="A16" s="1"/>
      <c r="B16" s="1"/>
      <c r="C16" s="1" t="s">
        <v>30</v>
      </c>
      <c r="D16" s="1"/>
      <c r="G16" s="26">
        <v>11</v>
      </c>
      <c r="H16" s="1" t="s">
        <v>27</v>
      </c>
      <c r="I16" s="25">
        <v>7</v>
      </c>
      <c r="J16" s="2" t="s">
        <v>80</v>
      </c>
      <c r="K16" s="52"/>
      <c r="L16" s="52"/>
      <c r="M16" s="52">
        <f>(($G16*H14)*($I16/56))</f>
        <v>319</v>
      </c>
      <c r="N16" s="111">
        <f>(($G16*H14)*($I16/56))</f>
        <v>319</v>
      </c>
    </row>
    <row r="17" spans="1:14" ht="13" x14ac:dyDescent="0.3">
      <c r="A17" s="1"/>
      <c r="B17" s="1"/>
      <c r="C17" s="1" t="s">
        <v>32</v>
      </c>
      <c r="D17" s="1"/>
      <c r="G17" s="26">
        <v>0.8</v>
      </c>
      <c r="H17" s="1" t="s">
        <v>27</v>
      </c>
      <c r="I17" s="25">
        <v>440</v>
      </c>
      <c r="J17" s="2" t="s">
        <v>5</v>
      </c>
      <c r="K17" s="32"/>
      <c r="L17" s="32"/>
      <c r="M17" s="52">
        <f>(($G17*H14)*$I17)/2000</f>
        <v>40.832000000000008</v>
      </c>
      <c r="N17" s="111">
        <f>(($G17*H14)*$I17)/2000</f>
        <v>40.832000000000008</v>
      </c>
    </row>
    <row r="18" spans="1:14" ht="13" x14ac:dyDescent="0.3">
      <c r="A18" s="1"/>
      <c r="B18" s="1"/>
      <c r="C18" s="1" t="s">
        <v>29</v>
      </c>
      <c r="D18" s="1"/>
      <c r="G18" s="26">
        <v>0.2</v>
      </c>
      <c r="H18" s="1" t="s">
        <v>27</v>
      </c>
      <c r="I18" s="25">
        <v>0.115</v>
      </c>
      <c r="J18" s="2" t="s">
        <v>21</v>
      </c>
      <c r="K18" s="32"/>
      <c r="L18" s="32"/>
      <c r="M18" s="52">
        <f>(($G18*H14)*$I18)</f>
        <v>5.3360000000000012</v>
      </c>
      <c r="N18" s="111">
        <f>(($G18*H14)*$I18)</f>
        <v>5.3360000000000012</v>
      </c>
    </row>
    <row r="19" spans="1:14" ht="13" x14ac:dyDescent="0.3">
      <c r="A19" s="1"/>
      <c r="B19" s="1"/>
      <c r="C19" s="1" t="s">
        <v>33</v>
      </c>
      <c r="D19" s="1"/>
      <c r="G19" s="26">
        <v>28</v>
      </c>
      <c r="H19" s="1" t="s">
        <v>27</v>
      </c>
      <c r="I19" s="25">
        <v>65</v>
      </c>
      <c r="J19" s="2" t="s">
        <v>5</v>
      </c>
      <c r="K19" s="32"/>
      <c r="L19" s="32"/>
      <c r="M19" s="52">
        <f>(($G19*H14)*$I19)/2000</f>
        <v>211.12</v>
      </c>
      <c r="N19" s="111">
        <f>(($G19*H14)*$I19)/2000</f>
        <v>211.12</v>
      </c>
    </row>
    <row r="20" spans="1:14" ht="13" x14ac:dyDescent="0.3">
      <c r="A20" s="1"/>
      <c r="B20" s="1"/>
      <c r="C20" s="1" t="s">
        <v>82</v>
      </c>
      <c r="D20" s="1"/>
      <c r="G20" s="26">
        <v>0</v>
      </c>
      <c r="H20" s="1" t="s">
        <v>27</v>
      </c>
      <c r="I20" s="25">
        <v>0</v>
      </c>
      <c r="J20" s="2" t="s">
        <v>5</v>
      </c>
      <c r="K20" s="32"/>
      <c r="L20" s="32"/>
      <c r="M20" s="165">
        <f>((G20*H14)*I20)/2000</f>
        <v>0</v>
      </c>
      <c r="N20" s="133">
        <f>((G20*H14)*I20)/2000</f>
        <v>0</v>
      </c>
    </row>
    <row r="21" spans="1:14" ht="13" x14ac:dyDescent="0.3">
      <c r="B21" s="13" t="s">
        <v>35</v>
      </c>
      <c r="C21" s="13"/>
      <c r="D21" s="13"/>
      <c r="G21" s="79"/>
      <c r="H21" s="31"/>
      <c r="I21" s="79"/>
      <c r="J21" s="2"/>
      <c r="K21" s="32"/>
      <c r="L21" s="32"/>
      <c r="M21" s="52">
        <f>SUM(M16:M19)</f>
        <v>576.28800000000001</v>
      </c>
      <c r="N21" s="111">
        <f>SUM(N16:N19)</f>
        <v>576.28800000000001</v>
      </c>
    </row>
    <row r="22" spans="1:14" ht="5.25" customHeight="1" x14ac:dyDescent="0.3">
      <c r="A22" s="13"/>
      <c r="B22" s="13"/>
      <c r="C22" s="13"/>
      <c r="D22" s="13"/>
      <c r="G22" s="79"/>
      <c r="H22" s="31"/>
      <c r="I22" s="79"/>
      <c r="J22" s="2"/>
      <c r="K22" s="32"/>
      <c r="L22" s="32"/>
      <c r="M22" s="52"/>
      <c r="N22" s="57"/>
    </row>
    <row r="23" spans="1:14" ht="13" x14ac:dyDescent="0.3">
      <c r="A23" s="1"/>
      <c r="B23" s="1" t="s">
        <v>87</v>
      </c>
      <c r="C23" s="1"/>
      <c r="D23" s="1"/>
      <c r="G23" s="26">
        <v>550</v>
      </c>
      <c r="H23" s="1" t="s">
        <v>27</v>
      </c>
      <c r="I23" s="25">
        <v>1.5</v>
      </c>
      <c r="J23" s="2" t="s">
        <v>21</v>
      </c>
      <c r="K23" s="32"/>
      <c r="L23" s="32"/>
      <c r="M23" s="52">
        <f>$G$23*$I$23</f>
        <v>825</v>
      </c>
      <c r="N23" s="111">
        <f>$I23*$G23</f>
        <v>825</v>
      </c>
    </row>
    <row r="24" spans="1:14" ht="15" x14ac:dyDescent="0.3">
      <c r="A24" s="1"/>
      <c r="B24" s="49" t="s">
        <v>88</v>
      </c>
      <c r="D24" s="49"/>
      <c r="E24" s="49"/>
      <c r="F24" s="49"/>
      <c r="G24" s="49"/>
      <c r="H24" s="50"/>
      <c r="I24" s="54"/>
      <c r="J24" s="49"/>
      <c r="K24" s="52"/>
      <c r="L24" s="52"/>
      <c r="M24" s="69">
        <v>30</v>
      </c>
      <c r="N24" s="22">
        <v>30</v>
      </c>
    </row>
    <row r="25" spans="1:14" ht="15" x14ac:dyDescent="0.3">
      <c r="A25" s="1"/>
      <c r="B25" s="49" t="s">
        <v>89</v>
      </c>
      <c r="D25" s="49"/>
      <c r="E25" s="49"/>
      <c r="F25" s="49"/>
      <c r="G25" s="49"/>
      <c r="H25" s="50"/>
      <c r="I25" s="54"/>
      <c r="J25" s="49"/>
      <c r="K25" s="52"/>
      <c r="L25" s="52"/>
      <c r="M25" s="69">
        <v>20</v>
      </c>
      <c r="N25" s="22">
        <v>20</v>
      </c>
    </row>
    <row r="26" spans="1:14" ht="13" x14ac:dyDescent="0.3">
      <c r="A26" s="1"/>
      <c r="B26" s="49" t="s">
        <v>83</v>
      </c>
      <c r="D26" s="49"/>
      <c r="E26" s="49"/>
      <c r="F26" s="49"/>
      <c r="G26" s="166">
        <v>0</v>
      </c>
      <c r="H26" s="49" t="s">
        <v>111</v>
      </c>
      <c r="I26" s="164">
        <v>0</v>
      </c>
      <c r="J26" s="49" t="s">
        <v>5</v>
      </c>
      <c r="K26" s="52"/>
      <c r="L26" s="52"/>
      <c r="M26" s="69">
        <f>G26*I26</f>
        <v>0</v>
      </c>
      <c r="N26" s="22">
        <f>G26*I26</f>
        <v>0</v>
      </c>
    </row>
    <row r="27" spans="1:14" ht="15" x14ac:dyDescent="0.3">
      <c r="A27" s="1"/>
      <c r="B27" s="49" t="s">
        <v>90</v>
      </c>
      <c r="D27" s="49"/>
      <c r="E27" s="49"/>
      <c r="F27" s="49"/>
      <c r="G27" s="49"/>
      <c r="H27" s="50"/>
      <c r="I27" s="51"/>
      <c r="J27" s="49"/>
      <c r="K27" s="52"/>
      <c r="L27" s="52"/>
      <c r="M27" s="69">
        <v>13</v>
      </c>
      <c r="N27" s="22">
        <v>13</v>
      </c>
    </row>
    <row r="28" spans="1:14" ht="15" x14ac:dyDescent="0.3">
      <c r="A28" s="1"/>
      <c r="B28" s="49" t="s">
        <v>91</v>
      </c>
      <c r="D28" s="49"/>
      <c r="E28" s="49"/>
      <c r="F28" s="116">
        <f>(SUM(M16:M19,M24,M27)/2)+M23</f>
        <v>1134.644</v>
      </c>
      <c r="G28" s="26">
        <v>6.5</v>
      </c>
      <c r="H28" s="49" t="s">
        <v>22</v>
      </c>
      <c r="I28" s="65">
        <v>0.05</v>
      </c>
      <c r="J28" s="49"/>
      <c r="K28" s="62"/>
      <c r="L28" s="62"/>
      <c r="M28" s="76">
        <f>$F$28*$I28*($G28/12)</f>
        <v>30.729941666666669</v>
      </c>
      <c r="N28" s="113">
        <f>$F$28*$I28*($G28/12)</f>
        <v>30.729941666666669</v>
      </c>
    </row>
    <row r="29" spans="1:14" ht="4.5" customHeight="1" x14ac:dyDescent="0.3">
      <c r="A29" s="1"/>
      <c r="B29" s="1"/>
      <c r="C29" s="49"/>
      <c r="D29" s="49"/>
      <c r="E29" s="53"/>
      <c r="F29" s="53"/>
      <c r="G29" s="55"/>
      <c r="H29" s="56"/>
      <c r="I29" s="51"/>
      <c r="J29" s="49"/>
      <c r="K29" s="52"/>
      <c r="L29" s="52"/>
      <c r="M29" s="52"/>
      <c r="N29" s="57"/>
    </row>
    <row r="30" spans="1:14" ht="13" x14ac:dyDescent="0.3">
      <c r="A30" s="13" t="s">
        <v>6</v>
      </c>
      <c r="B30" s="1"/>
      <c r="C30" s="49"/>
      <c r="D30" s="49"/>
      <c r="E30" s="53"/>
      <c r="F30" s="53"/>
      <c r="G30" s="53"/>
      <c r="H30" s="56"/>
      <c r="I30" s="63"/>
      <c r="J30" s="49"/>
      <c r="K30" s="57"/>
      <c r="L30" s="57">
        <f>SUM(L17:L28)</f>
        <v>0</v>
      </c>
      <c r="M30" s="52">
        <f>SUM(M21:M28)</f>
        <v>1495.0179416666667</v>
      </c>
      <c r="N30" s="111">
        <f>SUM(N21:N28)</f>
        <v>1495.0179416666667</v>
      </c>
    </row>
    <row r="31" spans="1:14" ht="13" x14ac:dyDescent="0.3">
      <c r="A31" s="1"/>
      <c r="B31" s="1"/>
      <c r="C31" s="49"/>
      <c r="D31" s="49"/>
      <c r="E31" s="53"/>
      <c r="F31" s="53"/>
      <c r="H31" s="53"/>
      <c r="I31" s="64"/>
      <c r="J31" s="49"/>
    </row>
    <row r="32" spans="1:14" ht="13" x14ac:dyDescent="0.3">
      <c r="A32" s="13" t="s">
        <v>7</v>
      </c>
      <c r="B32" s="1"/>
      <c r="C32" s="49"/>
      <c r="D32" s="49"/>
      <c r="E32" s="49"/>
      <c r="F32" s="49"/>
      <c r="G32" s="50"/>
      <c r="H32" s="58"/>
      <c r="I32" s="51"/>
      <c r="J32" s="49"/>
      <c r="K32" s="52"/>
      <c r="L32" s="52"/>
      <c r="M32" s="52"/>
      <c r="N32" s="57"/>
    </row>
    <row r="33" spans="1:14" ht="15" x14ac:dyDescent="0.3">
      <c r="A33" s="1"/>
      <c r="B33" s="1" t="s">
        <v>92</v>
      </c>
      <c r="C33" s="49"/>
      <c r="D33" s="49"/>
      <c r="E33" s="49"/>
      <c r="F33" s="49"/>
      <c r="G33" s="26">
        <v>2</v>
      </c>
      <c r="H33" s="58" t="s">
        <v>23</v>
      </c>
      <c r="I33" s="25">
        <v>15</v>
      </c>
      <c r="J33" s="49" t="s">
        <v>24</v>
      </c>
      <c r="K33" s="52"/>
      <c r="L33" s="52">
        <f>$I33*$G33</f>
        <v>30</v>
      </c>
      <c r="M33" s="52">
        <f>$I33*$G33</f>
        <v>30</v>
      </c>
      <c r="N33" s="111">
        <f>$I33*$G33</f>
        <v>30</v>
      </c>
    </row>
    <row r="34" spans="1:14" ht="15" x14ac:dyDescent="0.3">
      <c r="A34" s="1"/>
      <c r="B34" s="1" t="s">
        <v>93</v>
      </c>
      <c r="C34" s="49"/>
      <c r="D34" s="49"/>
      <c r="E34" s="49"/>
      <c r="F34" s="49"/>
      <c r="G34" s="50"/>
      <c r="H34" s="58"/>
      <c r="I34" s="157"/>
      <c r="J34" s="49"/>
      <c r="K34" s="52"/>
      <c r="L34" s="52"/>
      <c r="M34" s="52">
        <f>'Buildings and Machinery'!L26</f>
        <v>14.358333333333334</v>
      </c>
      <c r="N34" s="111">
        <f>'Buildings and Machinery'!L26</f>
        <v>14.358333333333334</v>
      </c>
    </row>
    <row r="35" spans="1:14" ht="15" x14ac:dyDescent="0.3">
      <c r="A35" s="1"/>
      <c r="B35" s="1" t="s">
        <v>94</v>
      </c>
      <c r="C35" s="49"/>
      <c r="D35" s="49"/>
      <c r="E35" s="49"/>
      <c r="F35" s="49"/>
      <c r="G35" s="50"/>
      <c r="H35" s="58"/>
      <c r="I35" s="157"/>
      <c r="J35" s="49"/>
      <c r="K35" s="52"/>
      <c r="L35" s="52"/>
      <c r="M35" s="52">
        <f>'Buildings and Machinery'!L13</f>
        <v>15.432983999999999</v>
      </c>
      <c r="N35" s="111">
        <f>'Buildings and Machinery'!L13</f>
        <v>15.432983999999999</v>
      </c>
    </row>
    <row r="36" spans="1:14" ht="15" x14ac:dyDescent="0.3">
      <c r="A36" s="1"/>
      <c r="B36" s="1" t="s">
        <v>95</v>
      </c>
      <c r="C36" s="49"/>
      <c r="D36" s="49"/>
      <c r="E36" s="49"/>
      <c r="F36" s="49"/>
      <c r="G36" s="49"/>
      <c r="H36" s="66">
        <v>0.05</v>
      </c>
      <c r="I36" s="49" t="s">
        <v>25</v>
      </c>
      <c r="J36" s="49"/>
      <c r="K36" s="52"/>
      <c r="L36" s="52">
        <f>$H36*$N12</f>
        <v>74.100000000000009</v>
      </c>
      <c r="M36" s="52">
        <f>($H36*$M12)</f>
        <v>74.100000000000009</v>
      </c>
      <c r="N36" s="111">
        <f>$H36*$N12</f>
        <v>74.100000000000009</v>
      </c>
    </row>
    <row r="37" spans="1:14" ht="6.75" customHeight="1" x14ac:dyDescent="0.3">
      <c r="A37" s="1"/>
      <c r="B37" s="1"/>
      <c r="C37" s="1"/>
      <c r="D37" s="1"/>
      <c r="E37" s="1"/>
      <c r="F37" s="16"/>
      <c r="G37" s="1"/>
      <c r="H37" s="1"/>
      <c r="I37" s="17"/>
      <c r="J37" s="1"/>
      <c r="K37" s="61"/>
      <c r="L37" s="61"/>
      <c r="M37" s="61"/>
      <c r="N37" s="67"/>
    </row>
    <row r="38" spans="1:14" ht="12.75" customHeight="1" x14ac:dyDescent="0.3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69"/>
      <c r="L38" s="69">
        <f>SUM(L33:L36)</f>
        <v>104.10000000000001</v>
      </c>
      <c r="M38" s="69">
        <f>SUM(M33:M36)</f>
        <v>133.89131733333335</v>
      </c>
      <c r="N38" s="112">
        <f>SUM(N33:N36)</f>
        <v>133.89131733333335</v>
      </c>
    </row>
    <row r="39" spans="1:14" ht="12.75" customHeight="1" x14ac:dyDescent="0.3">
      <c r="A39" s="1"/>
      <c r="B39" s="1"/>
      <c r="C39" s="1"/>
      <c r="D39" s="1"/>
      <c r="E39" s="1"/>
      <c r="F39" s="16"/>
      <c r="G39" s="1"/>
      <c r="H39" s="1"/>
      <c r="I39" s="63"/>
      <c r="J39" s="1"/>
      <c r="K39" s="12"/>
      <c r="L39" s="12"/>
      <c r="M39" s="12"/>
      <c r="N39" s="21"/>
    </row>
    <row r="40" spans="1:14" ht="13" x14ac:dyDescent="0.3">
      <c r="A40" s="13" t="s">
        <v>9</v>
      </c>
      <c r="B40" s="1"/>
      <c r="C40" s="1"/>
      <c r="D40" s="1"/>
      <c r="E40" s="1"/>
      <c r="F40" s="1"/>
      <c r="G40" s="1"/>
      <c r="H40" s="1"/>
      <c r="I40" s="63"/>
      <c r="J40" s="1"/>
      <c r="K40" s="69"/>
      <c r="L40" s="69">
        <f>L38+L30</f>
        <v>104.10000000000001</v>
      </c>
      <c r="M40" s="69">
        <f>M38+M30</f>
        <v>1628.909259</v>
      </c>
      <c r="N40" s="112">
        <f>N38+N30</f>
        <v>1628.909259</v>
      </c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64"/>
      <c r="J41" s="1"/>
      <c r="K41" s="35"/>
      <c r="L41" s="35"/>
      <c r="M41" s="35"/>
      <c r="N41" s="21"/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J42" s="1"/>
      <c r="K42" s="35"/>
      <c r="L42" s="35"/>
      <c r="M42" s="35"/>
      <c r="N42" s="21"/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64"/>
      <c r="J43" s="1"/>
      <c r="K43" s="35"/>
      <c r="L43" s="35"/>
      <c r="M43" s="35"/>
      <c r="N43" s="21"/>
    </row>
    <row r="44" spans="1:14" ht="13" x14ac:dyDescent="0.3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35"/>
      <c r="L44" s="35">
        <f>L12-L30</f>
        <v>0</v>
      </c>
      <c r="M44" s="35">
        <f>M12-M30</f>
        <v>-13.017941666666729</v>
      </c>
      <c r="N44" s="110">
        <f>N12-N30</f>
        <v>-13.017941666666729</v>
      </c>
    </row>
    <row r="45" spans="1:14" ht="13" x14ac:dyDescent="0.3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32"/>
      <c r="L45" s="32">
        <f>L12-L40</f>
        <v>-104.10000000000001</v>
      </c>
      <c r="M45" s="32">
        <f>M12-M40</f>
        <v>-146.90925900000002</v>
      </c>
      <c r="N45" s="111">
        <f>N12-N40</f>
        <v>-146.90925900000002</v>
      </c>
    </row>
    <row r="46" spans="1:14" ht="15" x14ac:dyDescent="0.3">
      <c r="A46" s="13" t="s">
        <v>96</v>
      </c>
      <c r="B46" s="1"/>
      <c r="C46" s="1"/>
      <c r="D46" s="1"/>
      <c r="E46" s="1"/>
      <c r="F46" s="1"/>
      <c r="G46" s="1"/>
      <c r="H46" s="1"/>
      <c r="I46" s="1"/>
      <c r="J46" s="1"/>
      <c r="K46" s="32"/>
      <c r="L46" s="32">
        <f>L45+L36+L33</f>
        <v>0</v>
      </c>
      <c r="M46" s="32">
        <f>M45+M36+M33</f>
        <v>-42.809259000000011</v>
      </c>
      <c r="N46" s="111">
        <f>N45+N36+N33</f>
        <v>-42.809259000000011</v>
      </c>
    </row>
    <row r="47" spans="1:14" ht="4.5" customHeight="1" x14ac:dyDescent="0.2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42"/>
      <c r="L47" s="42"/>
      <c r="M47" s="42"/>
      <c r="N47" s="10"/>
    </row>
    <row r="48" spans="1:14" ht="9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5">
      <c r="A49" s="28" t="s">
        <v>41</v>
      </c>
      <c r="B49" s="7"/>
      <c r="C49" s="7"/>
      <c r="D49" s="41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5">
      <c r="B50" s="28" t="s">
        <v>18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5">
      <c r="A51" s="28" t="s">
        <v>42</v>
      </c>
      <c r="C51" s="7"/>
      <c r="D51" s="43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5">
      <c r="A52" s="28"/>
      <c r="B52" s="28" t="s">
        <v>43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5">
      <c r="A53" s="28" t="s">
        <v>17</v>
      </c>
      <c r="B53" s="7"/>
      <c r="C53" s="7"/>
      <c r="D53" s="44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14.25" customHeight="1" x14ac:dyDescent="0.25">
      <c r="B54" s="7"/>
      <c r="C54" s="7"/>
      <c r="D54" s="45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4.5" x14ac:dyDescent="0.25">
      <c r="A55" s="109">
        <v>1</v>
      </c>
      <c r="B55" s="20" t="s">
        <v>84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4" ht="14.5" x14ac:dyDescent="0.25">
      <c r="A56" s="109">
        <v>2</v>
      </c>
      <c r="B56" s="20" t="s">
        <v>99</v>
      </c>
      <c r="C56" s="20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5" x14ac:dyDescent="0.25">
      <c r="A57" s="109"/>
      <c r="B57" s="20" t="s">
        <v>100</v>
      </c>
      <c r="C57" s="20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5" x14ac:dyDescent="0.25">
      <c r="A58" s="109">
        <v>3</v>
      </c>
      <c r="B58" s="20" t="s">
        <v>98</v>
      </c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5" x14ac:dyDescent="0.25">
      <c r="A59" s="109">
        <v>4</v>
      </c>
      <c r="B59" s="20" t="s">
        <v>97</v>
      </c>
      <c r="C59" s="33"/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5" x14ac:dyDescent="0.25">
      <c r="A60" s="109">
        <v>5</v>
      </c>
      <c r="B60" s="20" t="s">
        <v>101</v>
      </c>
      <c r="C60" s="33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5" x14ac:dyDescent="0.25">
      <c r="A61" s="109">
        <v>6</v>
      </c>
      <c r="B61" s="20" t="s">
        <v>85</v>
      </c>
      <c r="C61" s="33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5" x14ac:dyDescent="0.25">
      <c r="A62" s="109">
        <v>7</v>
      </c>
      <c r="B62" s="140" t="s">
        <v>109</v>
      </c>
      <c r="C62" s="33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5" x14ac:dyDescent="0.25">
      <c r="A63" s="109"/>
      <c r="B63" s="140"/>
      <c r="C63" s="140" t="s">
        <v>116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5" x14ac:dyDescent="0.25">
      <c r="A64" s="109"/>
      <c r="B64" s="140"/>
      <c r="C64" s="159" t="s">
        <v>74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5" x14ac:dyDescent="0.25">
      <c r="A65" s="109">
        <v>8</v>
      </c>
      <c r="B65" s="140" t="s">
        <v>110</v>
      </c>
      <c r="C65" s="45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5" x14ac:dyDescent="0.25">
      <c r="A66" s="109"/>
      <c r="B66" s="140"/>
      <c r="C66" s="140" t="s">
        <v>117</v>
      </c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5" x14ac:dyDescent="0.25">
      <c r="A67" s="109"/>
      <c r="B67" s="140"/>
      <c r="C67" s="159" t="s">
        <v>74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5" x14ac:dyDescent="0.25">
      <c r="A68" s="109">
        <v>9</v>
      </c>
      <c r="B68" s="20" t="s">
        <v>75</v>
      </c>
      <c r="C68" s="140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5" x14ac:dyDescent="0.25">
      <c r="A69" s="109">
        <v>10</v>
      </c>
      <c r="B69" s="20" t="s">
        <v>76</v>
      </c>
      <c r="C69" s="140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5" x14ac:dyDescent="0.25">
      <c r="A70" s="109"/>
      <c r="B70" s="20" t="s">
        <v>77</v>
      </c>
      <c r="D70" s="158"/>
      <c r="E70" s="158"/>
      <c r="F70" s="158"/>
      <c r="G70" s="158"/>
      <c r="H70" s="158"/>
      <c r="I70" s="158"/>
      <c r="J70" s="1"/>
      <c r="K70" s="2"/>
      <c r="L70" s="2"/>
      <c r="M70" s="2"/>
      <c r="N70" s="1"/>
    </row>
    <row r="71" spans="1:14" ht="14.5" x14ac:dyDescent="0.25">
      <c r="A71" s="109"/>
      <c r="C71" s="140"/>
      <c r="E71" s="1"/>
      <c r="F71" s="1"/>
      <c r="G71" s="1"/>
      <c r="H71" s="1"/>
      <c r="I71" s="1"/>
      <c r="J71" s="1"/>
      <c r="K71" s="2"/>
      <c r="L71" s="2"/>
      <c r="M71" s="2"/>
      <c r="N71" s="27"/>
    </row>
    <row r="72" spans="1:14" x14ac:dyDescent="0.25">
      <c r="D72" s="119" t="s">
        <v>37</v>
      </c>
      <c r="F72" s="119"/>
      <c r="G72" s="119"/>
      <c r="H72" s="119"/>
      <c r="I72" s="119"/>
      <c r="J72" s="119"/>
      <c r="K72" s="1"/>
      <c r="L72" s="1"/>
      <c r="M72" s="1"/>
      <c r="N72" s="29"/>
    </row>
    <row r="73" spans="1:14" x14ac:dyDescent="0.25">
      <c r="E73" s="119" t="s">
        <v>39</v>
      </c>
      <c r="F73" s="119"/>
      <c r="G73" s="119"/>
      <c r="H73" s="119"/>
      <c r="I73" s="119"/>
      <c r="J73" s="119"/>
      <c r="K73" s="1"/>
      <c r="L73" s="1"/>
      <c r="M73" s="1"/>
      <c r="N73" s="29"/>
    </row>
    <row r="74" spans="1:14" x14ac:dyDescent="0.25">
      <c r="E74" s="119" t="s">
        <v>102</v>
      </c>
      <c r="F74" s="119"/>
      <c r="G74" s="119"/>
      <c r="H74" s="119"/>
      <c r="I74" s="119"/>
      <c r="J74" s="119"/>
      <c r="K74" s="1"/>
      <c r="L74" s="1"/>
      <c r="M74" s="1"/>
      <c r="N74" s="29"/>
    </row>
    <row r="75" spans="1:14" x14ac:dyDescent="0.25">
      <c r="E75" s="119" t="s">
        <v>112</v>
      </c>
      <c r="F75" s="119"/>
      <c r="G75" s="119"/>
      <c r="H75" s="119"/>
      <c r="I75" s="119"/>
      <c r="J75" s="119"/>
      <c r="K75" s="1"/>
      <c r="L75" s="1"/>
      <c r="M75" s="1"/>
      <c r="N75" s="29"/>
    </row>
    <row r="76" spans="1:14" x14ac:dyDescent="0.25">
      <c r="D76" s="119"/>
      <c r="E76" s="119" t="s">
        <v>103</v>
      </c>
      <c r="F76" s="119"/>
      <c r="G76" s="119"/>
      <c r="H76" s="119"/>
      <c r="I76" s="119"/>
      <c r="J76" s="119"/>
      <c r="K76" s="1"/>
      <c r="L76" s="1"/>
      <c r="M76" s="1"/>
      <c r="N76" s="29"/>
    </row>
    <row r="77" spans="1:14" x14ac:dyDescent="0.25">
      <c r="D77" s="118"/>
      <c r="E77" s="119" t="s">
        <v>118</v>
      </c>
      <c r="F77" s="118"/>
      <c r="G77" s="118"/>
      <c r="H77" s="118"/>
      <c r="I77" s="118"/>
      <c r="J77" s="118"/>
      <c r="K77" s="1"/>
      <c r="L77" s="1"/>
      <c r="M77" s="1"/>
      <c r="N77" s="29"/>
    </row>
    <row r="78" spans="1:14" x14ac:dyDescent="0.25">
      <c r="D78" s="119"/>
      <c r="E78" s="120" t="s">
        <v>38</v>
      </c>
      <c r="F78" s="119"/>
      <c r="G78" s="119"/>
      <c r="H78" s="119"/>
      <c r="I78" s="119"/>
      <c r="J78" s="119"/>
      <c r="K78" s="1"/>
      <c r="L78" s="1"/>
      <c r="M78" s="1"/>
      <c r="N78" s="29"/>
    </row>
    <row r="79" spans="1:14" x14ac:dyDescent="0.25">
      <c r="D79" s="118"/>
      <c r="E79" s="119" t="s">
        <v>40</v>
      </c>
      <c r="F79" s="118"/>
      <c r="G79" s="118"/>
      <c r="H79" s="118"/>
      <c r="I79" s="118"/>
      <c r="J79" s="118"/>
      <c r="K79" s="1"/>
      <c r="L79" s="1"/>
      <c r="M79" s="1"/>
      <c r="N79" s="29"/>
    </row>
    <row r="80" spans="1:14" x14ac:dyDescent="0.25">
      <c r="D80" s="33"/>
      <c r="E80" s="120" t="s">
        <v>104</v>
      </c>
      <c r="F80" s="1"/>
      <c r="G80" s="1"/>
      <c r="H80" s="1"/>
      <c r="I80" s="1"/>
      <c r="J80" s="1"/>
      <c r="K80" s="1"/>
      <c r="L80" s="1"/>
      <c r="M80" s="1"/>
      <c r="N80" s="29"/>
    </row>
    <row r="81" spans="1:14" x14ac:dyDescent="0.25">
      <c r="D81" s="33"/>
      <c r="E81" s="28" t="s">
        <v>120</v>
      </c>
      <c r="F81" s="1"/>
      <c r="G81" s="1"/>
      <c r="H81" s="1"/>
      <c r="I81" s="1"/>
      <c r="J81" s="1"/>
      <c r="K81" s="1"/>
      <c r="L81" s="1"/>
      <c r="M81" s="1"/>
      <c r="N81" s="29"/>
    </row>
    <row r="82" spans="1:14" x14ac:dyDescent="0.25">
      <c r="D82" s="33"/>
      <c r="E82" s="20"/>
      <c r="F82" s="1"/>
      <c r="G82" s="1"/>
      <c r="H82" s="1"/>
      <c r="I82" s="1"/>
      <c r="J82" s="1"/>
      <c r="K82" s="1"/>
      <c r="L82" s="1"/>
      <c r="M82" s="1"/>
      <c r="N82" s="29"/>
    </row>
    <row r="83" spans="1:14" x14ac:dyDescent="0.25">
      <c r="A83" s="33"/>
      <c r="B83" s="20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9"/>
    </row>
    <row r="84" spans="1:14" x14ac:dyDescent="0.25">
      <c r="A84" s="33"/>
      <c r="B84" s="20"/>
      <c r="C84" s="20"/>
      <c r="D84" s="1"/>
      <c r="E84" s="1"/>
      <c r="F84" s="1"/>
      <c r="G84" s="1"/>
      <c r="H84" s="1"/>
      <c r="I84" s="1"/>
      <c r="J84" s="1"/>
      <c r="K84" s="2"/>
      <c r="L84" s="2"/>
      <c r="M84" s="2"/>
      <c r="N84" s="29"/>
    </row>
    <row r="85" spans="1:14" x14ac:dyDescent="0.25">
      <c r="A85" s="33"/>
      <c r="B85" s="33"/>
      <c r="C85" s="80"/>
      <c r="D85" s="33"/>
      <c r="E85" s="33"/>
      <c r="F85" s="33"/>
      <c r="G85" s="48"/>
      <c r="H85" s="33"/>
      <c r="I85" s="33"/>
      <c r="J85" s="33"/>
      <c r="K85" s="33"/>
      <c r="L85" s="81"/>
      <c r="M85" s="81"/>
      <c r="N85" s="29"/>
    </row>
    <row r="86" spans="1:14" x14ac:dyDescent="0.25">
      <c r="A86" s="33"/>
      <c r="B86" s="33"/>
      <c r="C86" s="33"/>
      <c r="D86" s="33"/>
      <c r="E86" s="82"/>
      <c r="F86" s="83"/>
      <c r="G86" s="82"/>
      <c r="H86" s="82"/>
      <c r="I86" s="83"/>
      <c r="J86" s="83"/>
      <c r="K86" s="83"/>
      <c r="L86" s="84"/>
      <c r="M86" s="83"/>
      <c r="N86" s="29"/>
    </row>
    <row r="87" spans="1:14" x14ac:dyDescent="0.25">
      <c r="A87" s="33"/>
      <c r="B87" s="33"/>
      <c r="C87" s="33"/>
      <c r="D87" s="33"/>
      <c r="E87" s="36"/>
      <c r="F87" s="85"/>
      <c r="G87" s="37"/>
      <c r="H87" s="37"/>
      <c r="I87" s="38"/>
      <c r="J87" s="39"/>
      <c r="K87" s="40"/>
      <c r="L87" s="84"/>
      <c r="M87" s="40"/>
      <c r="N87" s="29"/>
    </row>
    <row r="88" spans="1:14" x14ac:dyDescent="0.25">
      <c r="A88" s="33"/>
      <c r="B88" s="33"/>
      <c r="C88" s="33"/>
      <c r="D88" s="33"/>
      <c r="E88" s="36"/>
      <c r="F88" s="85"/>
      <c r="G88" s="37"/>
      <c r="H88" s="37"/>
      <c r="I88" s="38"/>
      <c r="J88" s="39"/>
      <c r="K88" s="40"/>
      <c r="L88" s="84"/>
      <c r="M88" s="40"/>
      <c r="N88" s="29"/>
    </row>
    <row r="89" spans="1:14" x14ac:dyDescent="0.25">
      <c r="A89" s="33"/>
      <c r="B89" s="33"/>
      <c r="C89" s="33"/>
      <c r="D89" s="33"/>
      <c r="E89" s="36"/>
      <c r="F89" s="85"/>
      <c r="G89" s="37"/>
      <c r="H89" s="37"/>
      <c r="I89" s="38"/>
      <c r="J89" s="39"/>
      <c r="K89" s="40"/>
      <c r="L89" s="84"/>
      <c r="M89" s="40"/>
      <c r="N89" s="29"/>
    </row>
    <row r="90" spans="1:14" x14ac:dyDescent="0.25">
      <c r="A90" s="33"/>
      <c r="B90" s="33"/>
      <c r="C90" s="33"/>
      <c r="D90" s="33"/>
      <c r="E90" s="36"/>
      <c r="F90" s="85"/>
      <c r="G90" s="37"/>
      <c r="H90" s="37"/>
      <c r="I90" s="38"/>
      <c r="J90" s="39"/>
      <c r="K90" s="40"/>
      <c r="L90" s="84"/>
      <c r="M90" s="40"/>
      <c r="N90" s="29"/>
    </row>
    <row r="91" spans="1:14" x14ac:dyDescent="0.25">
      <c r="A91" s="33"/>
      <c r="B91" s="33"/>
      <c r="C91" s="33"/>
      <c r="D91" s="33"/>
      <c r="E91" s="36"/>
      <c r="F91" s="85"/>
      <c r="G91" s="37"/>
      <c r="H91" s="37"/>
      <c r="I91" s="38"/>
      <c r="J91" s="39"/>
      <c r="K91" s="40"/>
      <c r="L91" s="84"/>
      <c r="M91" s="40"/>
      <c r="N91" s="29"/>
    </row>
    <row r="92" spans="1:14" x14ac:dyDescent="0.25">
      <c r="A92" s="33"/>
      <c r="B92" s="33"/>
      <c r="C92" s="33"/>
      <c r="D92" s="33"/>
      <c r="E92" s="36"/>
      <c r="F92" s="85"/>
      <c r="G92" s="37"/>
      <c r="H92" s="37"/>
      <c r="I92" s="38"/>
      <c r="J92" s="86"/>
      <c r="K92" s="87"/>
      <c r="L92" s="84"/>
      <c r="M92" s="40"/>
      <c r="N92" s="29"/>
    </row>
    <row r="93" spans="1:14" x14ac:dyDescent="0.25">
      <c r="A93" s="33"/>
      <c r="B93" s="33"/>
      <c r="C93" s="33"/>
      <c r="D93" s="33"/>
      <c r="E93" s="36"/>
      <c r="F93" s="85"/>
      <c r="G93" s="37"/>
      <c r="H93" s="37"/>
      <c r="I93" s="38"/>
      <c r="J93" s="87"/>
      <c r="K93" s="87"/>
      <c r="L93" s="84"/>
      <c r="M93" s="40"/>
      <c r="N93" s="29"/>
    </row>
    <row r="94" spans="1:14" x14ac:dyDescent="0.25">
      <c r="A94" s="33"/>
      <c r="B94" s="33"/>
      <c r="C94" s="33"/>
      <c r="D94" s="33"/>
      <c r="E94" s="36"/>
      <c r="F94" s="88"/>
      <c r="G94" s="89"/>
      <c r="H94" s="89"/>
      <c r="I94" s="38"/>
      <c r="J94" s="90"/>
      <c r="K94" s="91"/>
      <c r="L94" s="84"/>
      <c r="M94" s="40"/>
      <c r="N94" s="29"/>
    </row>
    <row r="95" spans="1:14" x14ac:dyDescent="0.25">
      <c r="A95" s="105"/>
      <c r="B95" s="80"/>
      <c r="C95" s="33"/>
      <c r="D95" s="33"/>
      <c r="E95" s="92"/>
      <c r="F95" s="36"/>
      <c r="G95" s="36"/>
      <c r="H95" s="36"/>
      <c r="I95" s="93"/>
      <c r="J95" s="94"/>
      <c r="K95" s="95"/>
      <c r="L95" s="84"/>
      <c r="M95" s="40"/>
      <c r="N95" s="29"/>
    </row>
    <row r="96" spans="1:14" ht="13" x14ac:dyDescent="0.3">
      <c r="A96" s="33"/>
      <c r="B96" s="48"/>
      <c r="C96" s="48"/>
      <c r="D96" s="48"/>
      <c r="E96" s="48"/>
      <c r="F96" s="96"/>
      <c r="G96" s="96"/>
      <c r="H96" s="96"/>
      <c r="I96" s="97"/>
      <c r="J96" s="94"/>
      <c r="K96" s="95"/>
      <c r="L96" s="98"/>
      <c r="M96" s="95"/>
      <c r="N96" s="29"/>
    </row>
    <row r="97" spans="1:14" x14ac:dyDescent="0.25">
      <c r="A97" s="33"/>
      <c r="B97" s="48"/>
      <c r="C97" s="33"/>
      <c r="D97" s="33"/>
      <c r="E97" s="33"/>
      <c r="F97" s="99"/>
      <c r="G97" s="100"/>
      <c r="H97" s="100"/>
      <c r="I97" s="101"/>
      <c r="J97" s="48"/>
      <c r="K97" s="102"/>
      <c r="L97" s="102"/>
      <c r="M97" s="102"/>
      <c r="N97" s="29"/>
    </row>
    <row r="98" spans="1:14" x14ac:dyDescent="0.25">
      <c r="A98" s="33"/>
      <c r="B98" s="33"/>
      <c r="C98" s="48"/>
      <c r="D98" s="48"/>
      <c r="E98" s="48"/>
      <c r="F98" s="103"/>
      <c r="G98" s="103"/>
      <c r="H98" s="103"/>
      <c r="I98" s="103"/>
      <c r="J98" s="170"/>
      <c r="K98" s="170"/>
      <c r="L98" s="170"/>
      <c r="M98" s="104"/>
      <c r="N98" s="29"/>
    </row>
    <row r="99" spans="1:14" x14ac:dyDescent="0.25">
      <c r="A99" s="107"/>
      <c r="B99" s="48"/>
      <c r="C99" s="48"/>
      <c r="D99" s="48"/>
      <c r="E99" s="48"/>
      <c r="F99" s="103"/>
      <c r="G99" s="103"/>
      <c r="H99" s="103"/>
      <c r="I99" s="101"/>
      <c r="J99" s="48"/>
      <c r="K99" s="102"/>
      <c r="L99" s="102"/>
      <c r="M99" s="102"/>
      <c r="N99" s="29"/>
    </row>
    <row r="100" spans="1:14" x14ac:dyDescent="0.25">
      <c r="A100" s="33"/>
      <c r="B100" s="48"/>
      <c r="C100" s="48"/>
      <c r="D100" s="48"/>
      <c r="E100" s="48"/>
      <c r="F100" s="103"/>
      <c r="G100" s="103"/>
      <c r="H100" s="103"/>
      <c r="I100" s="101"/>
      <c r="J100" s="48"/>
      <c r="K100" s="102"/>
      <c r="L100" s="102"/>
      <c r="M100" s="102"/>
      <c r="N100" s="29"/>
    </row>
    <row r="101" spans="1:14" x14ac:dyDescent="0.25">
      <c r="A101" s="33"/>
      <c r="B101" s="48"/>
      <c r="C101" s="48"/>
      <c r="D101" s="48"/>
      <c r="E101" s="48"/>
      <c r="F101" s="103"/>
      <c r="G101" s="103"/>
      <c r="H101" s="103"/>
      <c r="I101" s="101"/>
      <c r="J101" s="48"/>
      <c r="K101" s="102"/>
      <c r="L101" s="102"/>
      <c r="M101" s="102"/>
      <c r="N101" s="29"/>
    </row>
    <row r="102" spans="1:14" x14ac:dyDescent="0.25">
      <c r="A102" s="33"/>
      <c r="B102" s="33"/>
      <c r="C102" s="33"/>
      <c r="D102" s="33"/>
      <c r="E102" s="33"/>
      <c r="F102" s="106"/>
      <c r="G102" s="106"/>
      <c r="H102" s="106"/>
      <c r="I102" s="101"/>
      <c r="J102" s="33"/>
      <c r="K102" s="81"/>
      <c r="L102" s="81"/>
      <c r="M102" s="81"/>
      <c r="N102" s="29"/>
    </row>
    <row r="103" spans="1:14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81"/>
      <c r="M103" s="81"/>
      <c r="N103" s="29"/>
    </row>
    <row r="104" spans="1:14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81"/>
      <c r="M104" s="81"/>
      <c r="N104" s="29"/>
    </row>
    <row r="105" spans="1:14" x14ac:dyDescent="0.25">
      <c r="B105" s="33"/>
      <c r="C105" s="108"/>
      <c r="D105" s="33"/>
      <c r="E105" s="33"/>
      <c r="F105" s="33"/>
      <c r="G105" s="33"/>
      <c r="H105" s="33"/>
      <c r="I105" s="33"/>
      <c r="J105" s="33"/>
      <c r="K105" s="33"/>
      <c r="L105" s="81"/>
      <c r="M105" s="81"/>
      <c r="N105" s="29"/>
    </row>
    <row r="106" spans="1:14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81"/>
      <c r="M106" s="81"/>
      <c r="N106" s="29"/>
    </row>
    <row r="107" spans="1:14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81"/>
      <c r="M107" s="81"/>
    </row>
    <row r="108" spans="1:14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81"/>
      <c r="M108" s="81"/>
    </row>
    <row r="109" spans="1:14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81"/>
      <c r="M109" s="81"/>
    </row>
    <row r="110" spans="1:14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81"/>
      <c r="M110" s="81"/>
    </row>
  </sheetData>
  <mergeCells count="6">
    <mergeCell ref="J98:L98"/>
    <mergeCell ref="F6:G6"/>
    <mergeCell ref="J7:K7"/>
    <mergeCell ref="D1:M1"/>
    <mergeCell ref="D2:M2"/>
    <mergeCell ref="J6:K6"/>
  </mergeCells>
  <phoneticPr fontId="0" type="noConversion"/>
  <hyperlinks>
    <hyperlink ref="C64" location="'Buildings and Equipment'!A1" display="Click here or click 'Buildings and Equipment' below for specific cost calculations"/>
    <hyperlink ref="C67" location="'Buildings and Equipment'!A1" display="Click here or click 'Buildings and Equipment' below for specific cost calculations"/>
    <hyperlink ref="C70:I70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ignoredErrors>
    <ignoredError sqref="M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38" sqref="B37:B38"/>
    </sheetView>
  </sheetViews>
  <sheetFormatPr defaultRowHeight="12.5" x14ac:dyDescent="0.25"/>
  <cols>
    <col min="1" max="1" width="14" customWidth="1"/>
    <col min="4" max="4" width="8" customWidth="1"/>
    <col min="5" max="5" width="12" customWidth="1"/>
    <col min="8" max="8" width="8" customWidth="1"/>
    <col min="9" max="9" width="8.26953125" customWidth="1"/>
    <col min="10" max="10" width="7.453125" customWidth="1"/>
    <col min="11" max="11" width="9.7265625" customWidth="1"/>
  </cols>
  <sheetData>
    <row r="1" spans="1:12" ht="13" x14ac:dyDescent="0.3">
      <c r="A1" s="175" t="s">
        <v>44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7" x14ac:dyDescent="0.25">
      <c r="A2" s="121"/>
      <c r="B2" s="122" t="s">
        <v>45</v>
      </c>
      <c r="C2" s="123" t="s">
        <v>46</v>
      </c>
      <c r="D2" s="124" t="s">
        <v>47</v>
      </c>
      <c r="E2" s="124" t="s">
        <v>113</v>
      </c>
      <c r="F2" s="124" t="s">
        <v>48</v>
      </c>
      <c r="G2" s="124" t="s">
        <v>49</v>
      </c>
      <c r="H2" s="125" t="s">
        <v>50</v>
      </c>
      <c r="I2" s="10" t="s">
        <v>65</v>
      </c>
      <c r="J2" s="124" t="s">
        <v>51</v>
      </c>
      <c r="K2" s="124" t="s">
        <v>52</v>
      </c>
      <c r="L2" s="125" t="s">
        <v>53</v>
      </c>
    </row>
    <row r="3" spans="1:12" ht="13" x14ac:dyDescent="0.3">
      <c r="A3" s="126" t="s">
        <v>54</v>
      </c>
      <c r="B3" s="127">
        <v>4540</v>
      </c>
      <c r="C3" s="128">
        <f>B3*0.3</f>
        <v>1362</v>
      </c>
      <c r="D3" s="129">
        <f>(B3+C3+E3)/2</f>
        <v>3003.9666666666667</v>
      </c>
      <c r="E3" s="167">
        <f>(B3-C3)/30</f>
        <v>105.93333333333334</v>
      </c>
      <c r="F3" s="130">
        <f>D3*0.06</f>
        <v>180.238</v>
      </c>
      <c r="G3" s="131">
        <f>D3*0.005</f>
        <v>15.019833333333334</v>
      </c>
      <c r="H3" s="132">
        <f>D3*0.005</f>
        <v>15.019833333333334</v>
      </c>
      <c r="I3" s="132">
        <f>B3*0.01</f>
        <v>45.4</v>
      </c>
      <c r="J3" s="133">
        <f>SUM(E3:I3)</f>
        <v>361.61099999999999</v>
      </c>
      <c r="K3" s="134">
        <v>750</v>
      </c>
      <c r="L3" s="135">
        <f>J3/K3</f>
        <v>0.48214799999999997</v>
      </c>
    </row>
    <row r="4" spans="1:12" ht="13" x14ac:dyDescent="0.3">
      <c r="A4" s="126" t="s">
        <v>55</v>
      </c>
      <c r="B4" s="127">
        <v>30000</v>
      </c>
      <c r="C4" s="128">
        <f t="shared" ref="C4:C12" si="0">B4*0.3</f>
        <v>9000</v>
      </c>
      <c r="D4" s="129">
        <f t="shared" ref="D4:D12" si="1">(B4+C4+E4)/2</f>
        <v>19850</v>
      </c>
      <c r="E4" s="167">
        <f t="shared" ref="E4:E12" si="2">(B4-C4)/30</f>
        <v>700</v>
      </c>
      <c r="F4" s="130">
        <f t="shared" ref="F4:F12" si="3">D4*0.06</f>
        <v>1191</v>
      </c>
      <c r="G4" s="131">
        <f t="shared" ref="G4:G11" si="4">D4*0.005</f>
        <v>99.25</v>
      </c>
      <c r="H4" s="132">
        <f t="shared" ref="H4:H12" si="5">D4*0.005</f>
        <v>99.25</v>
      </c>
      <c r="I4" s="132">
        <f>B4*0.01</f>
        <v>300</v>
      </c>
      <c r="J4" s="133">
        <f t="shared" ref="J4:J12" si="6">SUM(E4:I4)</f>
        <v>2389.5</v>
      </c>
      <c r="K4" s="134">
        <v>750</v>
      </c>
      <c r="L4" s="136">
        <f t="shared" ref="L4:L12" si="7">J4/K4</f>
        <v>3.1859999999999999</v>
      </c>
    </row>
    <row r="5" spans="1:12" ht="13" x14ac:dyDescent="0.3">
      <c r="A5" s="126" t="s">
        <v>78</v>
      </c>
      <c r="B5" s="127">
        <v>35000</v>
      </c>
      <c r="C5" s="128">
        <f t="shared" si="0"/>
        <v>10500</v>
      </c>
      <c r="D5" s="129">
        <f t="shared" si="1"/>
        <v>23158.333333333332</v>
      </c>
      <c r="E5" s="167">
        <f t="shared" si="2"/>
        <v>816.66666666666663</v>
      </c>
      <c r="F5" s="130">
        <f t="shared" si="3"/>
        <v>1389.4999999999998</v>
      </c>
      <c r="G5" s="131">
        <f t="shared" si="4"/>
        <v>115.79166666666666</v>
      </c>
      <c r="H5" s="132">
        <f t="shared" si="5"/>
        <v>115.79166666666666</v>
      </c>
      <c r="I5" s="132">
        <f t="shared" ref="I5:I12" si="8">B5*0.01</f>
        <v>350</v>
      </c>
      <c r="J5" s="133">
        <f t="shared" si="6"/>
        <v>2787.7499999999995</v>
      </c>
      <c r="K5" s="134">
        <v>750</v>
      </c>
      <c r="L5" s="136">
        <f t="shared" si="7"/>
        <v>3.7169999999999992</v>
      </c>
    </row>
    <row r="6" spans="1:12" ht="23.5" x14ac:dyDescent="0.3">
      <c r="A6" s="126" t="s">
        <v>56</v>
      </c>
      <c r="B6" s="127">
        <v>5500</v>
      </c>
      <c r="C6" s="128">
        <f t="shared" si="0"/>
        <v>1650</v>
      </c>
      <c r="D6" s="129">
        <f t="shared" si="1"/>
        <v>3639.1666666666665</v>
      </c>
      <c r="E6" s="167">
        <f t="shared" si="2"/>
        <v>128.33333333333334</v>
      </c>
      <c r="F6" s="130">
        <f t="shared" si="3"/>
        <v>218.35</v>
      </c>
      <c r="G6" s="131">
        <f t="shared" si="4"/>
        <v>18.195833333333333</v>
      </c>
      <c r="H6" s="132">
        <f t="shared" si="5"/>
        <v>18.195833333333333</v>
      </c>
      <c r="I6" s="132">
        <f t="shared" si="8"/>
        <v>55</v>
      </c>
      <c r="J6" s="133">
        <f t="shared" si="6"/>
        <v>438.07499999999999</v>
      </c>
      <c r="K6" s="134">
        <v>750</v>
      </c>
      <c r="L6" s="136">
        <f t="shared" si="7"/>
        <v>0.58409999999999995</v>
      </c>
    </row>
    <row r="7" spans="1:12" ht="13" x14ac:dyDescent="0.3">
      <c r="A7" s="126" t="s">
        <v>57</v>
      </c>
      <c r="B7" s="127">
        <v>5000</v>
      </c>
      <c r="C7" s="128">
        <f t="shared" si="0"/>
        <v>1500</v>
      </c>
      <c r="D7" s="129">
        <f t="shared" si="1"/>
        <v>3308.3333333333335</v>
      </c>
      <c r="E7" s="167">
        <f t="shared" si="2"/>
        <v>116.66666666666667</v>
      </c>
      <c r="F7" s="130">
        <f t="shared" si="3"/>
        <v>198.5</v>
      </c>
      <c r="G7" s="131">
        <f t="shared" si="4"/>
        <v>16.541666666666668</v>
      </c>
      <c r="H7" s="132">
        <f t="shared" si="5"/>
        <v>16.541666666666668</v>
      </c>
      <c r="I7" s="132">
        <f t="shared" si="8"/>
        <v>50</v>
      </c>
      <c r="J7" s="133">
        <f t="shared" si="6"/>
        <v>398.25000000000006</v>
      </c>
      <c r="K7" s="134">
        <v>750</v>
      </c>
      <c r="L7" s="136">
        <f t="shared" si="7"/>
        <v>0.53100000000000003</v>
      </c>
    </row>
    <row r="8" spans="1:12" ht="13" x14ac:dyDescent="0.3">
      <c r="A8" s="126" t="s">
        <v>58</v>
      </c>
      <c r="B8" s="127">
        <v>1280</v>
      </c>
      <c r="C8" s="128">
        <f t="shared" si="0"/>
        <v>384</v>
      </c>
      <c r="D8" s="129">
        <f t="shared" si="1"/>
        <v>846.93333333333328</v>
      </c>
      <c r="E8" s="167">
        <f t="shared" si="2"/>
        <v>29.866666666666667</v>
      </c>
      <c r="F8" s="130">
        <f t="shared" si="3"/>
        <v>50.815999999999995</v>
      </c>
      <c r="G8" s="131">
        <f t="shared" si="4"/>
        <v>4.2346666666666666</v>
      </c>
      <c r="H8" s="132">
        <f t="shared" si="5"/>
        <v>4.2346666666666666</v>
      </c>
      <c r="I8" s="132">
        <f t="shared" si="8"/>
        <v>12.8</v>
      </c>
      <c r="J8" s="133">
        <f t="shared" si="6"/>
        <v>101.952</v>
      </c>
      <c r="K8" s="134">
        <v>750</v>
      </c>
      <c r="L8" s="136">
        <f t="shared" si="7"/>
        <v>0.135936</v>
      </c>
    </row>
    <row r="9" spans="1:12" ht="13.5" customHeight="1" x14ac:dyDescent="0.3">
      <c r="A9" s="126" t="s">
        <v>59</v>
      </c>
      <c r="B9" s="127">
        <v>23000</v>
      </c>
      <c r="C9" s="128">
        <f t="shared" si="0"/>
        <v>6900</v>
      </c>
      <c r="D9" s="129">
        <f t="shared" si="1"/>
        <v>15218.333333333334</v>
      </c>
      <c r="E9" s="167">
        <f t="shared" si="2"/>
        <v>536.66666666666663</v>
      </c>
      <c r="F9" s="130">
        <f t="shared" si="3"/>
        <v>913.1</v>
      </c>
      <c r="G9" s="131">
        <f t="shared" si="4"/>
        <v>76.091666666666669</v>
      </c>
      <c r="H9" s="132">
        <f t="shared" si="5"/>
        <v>76.091666666666669</v>
      </c>
      <c r="I9" s="132">
        <f t="shared" si="8"/>
        <v>230</v>
      </c>
      <c r="J9" s="133">
        <f t="shared" si="6"/>
        <v>1831.95</v>
      </c>
      <c r="K9" s="134">
        <v>750</v>
      </c>
      <c r="L9" s="136">
        <f t="shared" si="7"/>
        <v>2.4426000000000001</v>
      </c>
    </row>
    <row r="10" spans="1:12" ht="24" customHeight="1" x14ac:dyDescent="0.3">
      <c r="A10" s="126" t="s">
        <v>60</v>
      </c>
      <c r="B10" s="127">
        <v>6000</v>
      </c>
      <c r="C10" s="128">
        <f t="shared" si="0"/>
        <v>1800</v>
      </c>
      <c r="D10" s="129">
        <f t="shared" si="1"/>
        <v>3970</v>
      </c>
      <c r="E10" s="167">
        <f t="shared" si="2"/>
        <v>140</v>
      </c>
      <c r="F10" s="130">
        <f t="shared" si="3"/>
        <v>238.2</v>
      </c>
      <c r="G10" s="131">
        <f t="shared" si="4"/>
        <v>19.850000000000001</v>
      </c>
      <c r="H10" s="132">
        <f t="shared" si="5"/>
        <v>19.850000000000001</v>
      </c>
      <c r="I10" s="132">
        <f t="shared" si="8"/>
        <v>60</v>
      </c>
      <c r="J10" s="133">
        <f t="shared" si="6"/>
        <v>477.90000000000003</v>
      </c>
      <c r="K10" s="134">
        <v>750</v>
      </c>
      <c r="L10" s="136">
        <f t="shared" si="7"/>
        <v>0.6372000000000001</v>
      </c>
    </row>
    <row r="11" spans="1:12" ht="13" x14ac:dyDescent="0.3">
      <c r="A11" s="126" t="s">
        <v>61</v>
      </c>
      <c r="B11" s="127">
        <v>20000</v>
      </c>
      <c r="C11" s="128">
        <f t="shared" si="0"/>
        <v>6000</v>
      </c>
      <c r="D11" s="129">
        <f t="shared" si="1"/>
        <v>13233.333333333334</v>
      </c>
      <c r="E11" s="167">
        <f t="shared" si="2"/>
        <v>466.66666666666669</v>
      </c>
      <c r="F11" s="130">
        <f t="shared" si="3"/>
        <v>794</v>
      </c>
      <c r="G11" s="131">
        <f t="shared" si="4"/>
        <v>66.166666666666671</v>
      </c>
      <c r="H11" s="132">
        <f t="shared" si="5"/>
        <v>66.166666666666671</v>
      </c>
      <c r="I11" s="132">
        <f t="shared" si="8"/>
        <v>200</v>
      </c>
      <c r="J11" s="133">
        <f t="shared" si="6"/>
        <v>1593.0000000000002</v>
      </c>
      <c r="K11" s="134">
        <v>750</v>
      </c>
      <c r="L11" s="136">
        <f t="shared" si="7"/>
        <v>2.1240000000000001</v>
      </c>
    </row>
    <row r="12" spans="1:12" ht="13.5" customHeight="1" x14ac:dyDescent="0.3">
      <c r="A12" s="126" t="s">
        <v>62</v>
      </c>
      <c r="B12" s="127">
        <v>15000</v>
      </c>
      <c r="C12" s="128">
        <f t="shared" si="0"/>
        <v>4500</v>
      </c>
      <c r="D12" s="129">
        <f t="shared" si="1"/>
        <v>9925</v>
      </c>
      <c r="E12" s="167">
        <f t="shared" si="2"/>
        <v>350</v>
      </c>
      <c r="F12" s="130">
        <f t="shared" si="3"/>
        <v>595.5</v>
      </c>
      <c r="G12" s="131">
        <f>D12*0.005</f>
        <v>49.625</v>
      </c>
      <c r="H12" s="132">
        <f t="shared" si="5"/>
        <v>49.625</v>
      </c>
      <c r="I12" s="132">
        <f t="shared" si="8"/>
        <v>150</v>
      </c>
      <c r="J12" s="133">
        <f t="shared" si="6"/>
        <v>1194.75</v>
      </c>
      <c r="K12" s="134">
        <v>750</v>
      </c>
      <c r="L12" s="137">
        <f t="shared" si="7"/>
        <v>1.593</v>
      </c>
    </row>
    <row r="13" spans="1:12" ht="13" x14ac:dyDescent="0.3">
      <c r="A13" s="138" t="s">
        <v>105</v>
      </c>
      <c r="B13" s="75"/>
      <c r="C13" s="75"/>
      <c r="D13" s="75"/>
      <c r="E13" s="75"/>
      <c r="F13" s="75"/>
      <c r="G13" s="5"/>
      <c r="H13" s="75"/>
      <c r="I13" s="75"/>
      <c r="J13" s="4" t="s">
        <v>63</v>
      </c>
      <c r="K13" s="75"/>
      <c r="L13" s="139">
        <f>SUM(L3:L12)</f>
        <v>15.432983999999999</v>
      </c>
    </row>
    <row r="14" spans="1:12" ht="13" x14ac:dyDescent="0.3">
      <c r="A14" s="140" t="s">
        <v>64</v>
      </c>
      <c r="B14" s="141"/>
      <c r="C14" s="141"/>
      <c r="D14" s="141"/>
      <c r="E14" s="141"/>
      <c r="F14" s="141"/>
      <c r="G14" s="142"/>
      <c r="H14" s="7"/>
      <c r="I14" s="7"/>
      <c r="J14" s="45"/>
      <c r="K14" s="168"/>
      <c r="L14" s="169"/>
    </row>
    <row r="15" spans="1:12" ht="13" x14ac:dyDescent="0.3">
      <c r="A15" s="143" t="s">
        <v>107</v>
      </c>
      <c r="B15" s="141"/>
      <c r="C15" s="141"/>
      <c r="D15" s="141"/>
      <c r="E15" s="141"/>
      <c r="F15" s="141"/>
      <c r="G15" s="142"/>
      <c r="H15" s="141"/>
      <c r="I15" s="141"/>
      <c r="J15" s="141"/>
    </row>
    <row r="16" spans="1:12" ht="13" x14ac:dyDescent="0.3">
      <c r="A16" s="143" t="s">
        <v>108</v>
      </c>
      <c r="B16" s="141"/>
      <c r="C16" s="141"/>
      <c r="D16" s="141"/>
      <c r="E16" s="141"/>
      <c r="F16" s="141"/>
      <c r="G16" s="142"/>
      <c r="H16" s="141"/>
      <c r="I16" s="141"/>
      <c r="J16" s="141"/>
    </row>
    <row r="17" spans="1:12" ht="13" x14ac:dyDescent="0.3">
      <c r="A17" s="143" t="s">
        <v>67</v>
      </c>
      <c r="B17" s="141"/>
      <c r="C17" s="141"/>
      <c r="D17" s="141"/>
      <c r="E17" s="141"/>
      <c r="F17" s="141"/>
      <c r="G17" s="142"/>
      <c r="H17" s="141"/>
      <c r="I17" s="141"/>
      <c r="J17" s="141"/>
    </row>
    <row r="18" spans="1:12" x14ac:dyDescent="0.25">
      <c r="A18" s="140" t="s">
        <v>68</v>
      </c>
      <c r="B18" s="48"/>
      <c r="C18" s="48"/>
    </row>
    <row r="19" spans="1:12" x14ac:dyDescent="0.25">
      <c r="A19" s="140" t="s">
        <v>114</v>
      </c>
      <c r="B19" s="48"/>
      <c r="C19" s="48"/>
    </row>
    <row r="20" spans="1:12" x14ac:dyDescent="0.25">
      <c r="A20" s="140"/>
      <c r="B20" s="48"/>
      <c r="C20" s="48"/>
    </row>
    <row r="21" spans="1:12" x14ac:dyDescent="0.25">
      <c r="A21" s="33"/>
      <c r="B21" s="33"/>
      <c r="C21" s="33"/>
    </row>
    <row r="22" spans="1:12" ht="13" x14ac:dyDescent="0.3">
      <c r="A22" s="175" t="s">
        <v>69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</row>
    <row r="23" spans="1:12" ht="27" x14ac:dyDescent="0.25">
      <c r="A23" s="10"/>
      <c r="B23" s="122" t="s">
        <v>45</v>
      </c>
      <c r="C23" s="123" t="s">
        <v>46</v>
      </c>
      <c r="D23" s="124" t="s">
        <v>47</v>
      </c>
      <c r="E23" s="124" t="s">
        <v>113</v>
      </c>
      <c r="F23" s="124" t="s">
        <v>48</v>
      </c>
      <c r="G23" s="124" t="s">
        <v>49</v>
      </c>
      <c r="H23" s="125" t="s">
        <v>70</v>
      </c>
      <c r="I23" s="1" t="s">
        <v>65</v>
      </c>
      <c r="J23" s="124" t="s">
        <v>51</v>
      </c>
      <c r="K23" s="124" t="s">
        <v>52</v>
      </c>
      <c r="L23" s="125" t="s">
        <v>53</v>
      </c>
    </row>
    <row r="24" spans="1:12" ht="13" x14ac:dyDescent="0.3">
      <c r="A24" s="144" t="s">
        <v>71</v>
      </c>
      <c r="B24" s="145">
        <v>50000</v>
      </c>
      <c r="C24" s="146">
        <f>B24*0.3</f>
        <v>15000</v>
      </c>
      <c r="D24" s="147">
        <f>(B24+C24+E24)/2</f>
        <v>34250</v>
      </c>
      <c r="E24" s="147">
        <f>(B24-C24)/10</f>
        <v>3500</v>
      </c>
      <c r="F24" s="147">
        <f>D24*0.06</f>
        <v>2055</v>
      </c>
      <c r="G24" s="147">
        <f>D24*0.005</f>
        <v>171.25</v>
      </c>
      <c r="H24" s="147">
        <f>D24*0.01</f>
        <v>342.5</v>
      </c>
      <c r="I24" s="147">
        <f>B24*0.02</f>
        <v>1000</v>
      </c>
      <c r="J24" s="148">
        <f>SUM(E24:I24)</f>
        <v>7068.75</v>
      </c>
      <c r="K24" s="149">
        <v>750</v>
      </c>
      <c r="L24" s="133">
        <f>J24/K24</f>
        <v>9.4250000000000007</v>
      </c>
    </row>
    <row r="25" spans="1:12" ht="13" x14ac:dyDescent="0.3">
      <c r="A25" s="150" t="s">
        <v>72</v>
      </c>
      <c r="B25" s="151">
        <v>25000</v>
      </c>
      <c r="C25" s="152">
        <f>B25*0.2</f>
        <v>5000</v>
      </c>
      <c r="D25" s="153">
        <f>(B25+C25+E25)/2</f>
        <v>16000</v>
      </c>
      <c r="E25" s="153">
        <f>(B25-C25)/10</f>
        <v>2000</v>
      </c>
      <c r="F25" s="153">
        <f>D25*0.06</f>
        <v>960</v>
      </c>
      <c r="G25" s="153">
        <f>D25*0.005</f>
        <v>80</v>
      </c>
      <c r="H25" s="153">
        <f>D25*0.01</f>
        <v>160</v>
      </c>
      <c r="I25" s="153">
        <f>B25*0.02</f>
        <v>500</v>
      </c>
      <c r="J25" s="148">
        <f>SUM(E25:I25)</f>
        <v>3700</v>
      </c>
      <c r="K25" s="149">
        <v>750</v>
      </c>
      <c r="L25" s="133">
        <f>J25/K25</f>
        <v>4.9333333333333336</v>
      </c>
    </row>
    <row r="26" spans="1:12" ht="13" x14ac:dyDescent="0.3">
      <c r="A26" s="138" t="s">
        <v>106</v>
      </c>
      <c r="B26" s="28"/>
      <c r="C26" s="28"/>
      <c r="F26" s="13"/>
      <c r="G26" s="154"/>
      <c r="H26" s="141"/>
      <c r="I26" s="141"/>
      <c r="J26" s="4" t="s">
        <v>63</v>
      </c>
      <c r="K26" s="75"/>
      <c r="L26" s="155">
        <f>SUM(L24:L25)</f>
        <v>14.358333333333334</v>
      </c>
    </row>
    <row r="27" spans="1:12" ht="13" x14ac:dyDescent="0.3">
      <c r="A27" s="140" t="s">
        <v>64</v>
      </c>
      <c r="B27" s="28"/>
      <c r="C27" s="28"/>
      <c r="J27" s="1"/>
      <c r="L27" s="169"/>
    </row>
    <row r="28" spans="1:12" x14ac:dyDescent="0.25">
      <c r="A28" s="143" t="s">
        <v>66</v>
      </c>
      <c r="B28" s="156"/>
      <c r="C28" s="156"/>
    </row>
    <row r="29" spans="1:12" x14ac:dyDescent="0.25">
      <c r="A29" s="143" t="s">
        <v>108</v>
      </c>
      <c r="B29" s="28"/>
      <c r="C29" s="28"/>
    </row>
    <row r="30" spans="1:12" x14ac:dyDescent="0.25">
      <c r="A30" s="143" t="s">
        <v>67</v>
      </c>
      <c r="B30" s="28"/>
      <c r="C30" s="28"/>
    </row>
    <row r="31" spans="1:12" x14ac:dyDescent="0.25">
      <c r="A31" s="140" t="s">
        <v>73</v>
      </c>
      <c r="B31" s="156"/>
      <c r="C31" s="156"/>
    </row>
    <row r="32" spans="1:12" x14ac:dyDescent="0.25">
      <c r="A32" s="140" t="s">
        <v>115</v>
      </c>
      <c r="B32" s="28"/>
      <c r="C32" s="28"/>
      <c r="J32" s="1"/>
      <c r="L32" s="18"/>
    </row>
  </sheetData>
  <mergeCells count="2">
    <mergeCell ref="A1:L1"/>
    <mergeCell ref="A22:L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slaughtersteer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2012-04-11T14:55:04Z</cp:lastPrinted>
  <dcterms:created xsi:type="dcterms:W3CDTF">1999-03-19T18:36:31Z</dcterms:created>
  <dcterms:modified xsi:type="dcterms:W3CDTF">2016-12-01T18:08:36Z</dcterms:modified>
</cp:coreProperties>
</file>