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65416" windowWidth="15360" windowHeight="8715" activeTab="0"/>
  </bookViews>
  <sheets>
    <sheet name="popcorn" sheetId="1" r:id="rId1"/>
    <sheet name="machinery costs" sheetId="2" r:id="rId2"/>
  </sheets>
  <definedNames/>
  <calcPr fullCalcOnLoad="1"/>
</workbook>
</file>

<file path=xl/sharedStrings.xml><?xml version="1.0" encoding="utf-8"?>
<sst xmlns="http://schemas.openxmlformats.org/spreadsheetml/2006/main" count="178" uniqueCount="152">
  <si>
    <t>ITEM</t>
  </si>
  <si>
    <t>EXPLANATION</t>
  </si>
  <si>
    <t>YOUR</t>
  </si>
  <si>
    <t>BUDGET</t>
  </si>
  <si>
    <t>VARIABLE  COSTS</t>
  </si>
  <si>
    <t>/ton</t>
  </si>
  <si>
    <t>Repairs</t>
  </si>
  <si>
    <t xml:space="preserve">mo. </t>
  </si>
  <si>
    <t>TOTAL VARIABLE COSTS</t>
  </si>
  <si>
    <t>-Per Acre</t>
  </si>
  <si>
    <t>FIXED COSTS</t>
  </si>
  <si>
    <t>hours</t>
  </si>
  <si>
    <t>Rent</t>
  </si>
  <si>
    <t>TOTAL FIXED COSTS</t>
  </si>
  <si>
    <t>TOTAL COSTS</t>
  </si>
  <si>
    <t>RETURN ABOVE VARIABLE COSTS</t>
  </si>
  <si>
    <t>RETURN ABOVE TOTAL COSTS</t>
  </si>
  <si>
    <t>/lb.</t>
  </si>
  <si>
    <t>UNIT</t>
  </si>
  <si>
    <t>PRICE PER</t>
  </si>
  <si>
    <t>N (lb.)</t>
  </si>
  <si>
    <t>P2O5(lb.)</t>
  </si>
  <si>
    <t>K2O(lb.)</t>
  </si>
  <si>
    <t>/hr.</t>
  </si>
  <si>
    <r>
      <t xml:space="preserve">RECEIPTS </t>
    </r>
    <r>
      <rPr>
        <b/>
        <vertAlign val="superscript"/>
        <sz val="10"/>
        <color indexed="12"/>
        <rFont val="Arial"/>
        <family val="2"/>
      </rPr>
      <t>1</t>
    </r>
  </si>
  <si>
    <t>of gross revenue</t>
  </si>
  <si>
    <t>Your</t>
  </si>
  <si>
    <t>Prod</t>
  </si>
  <si>
    <t>Numbers</t>
  </si>
  <si>
    <t>Lime(ton)</t>
  </si>
  <si>
    <t>/10000</t>
  </si>
  <si>
    <t>/lb</t>
  </si>
  <si>
    <r>
      <t>Seed</t>
    </r>
    <r>
      <rPr>
        <sz val="8"/>
        <rFont val="Arial"/>
        <family val="2"/>
      </rPr>
      <t xml:space="preserve"> </t>
    </r>
    <r>
      <rPr>
        <b/>
        <vertAlign val="superscript"/>
        <sz val="10"/>
        <color indexed="12"/>
        <rFont val="Arial"/>
        <family val="2"/>
      </rPr>
      <t>2</t>
    </r>
  </si>
  <si>
    <t>Seed prices estimated from 2008 Rupp &amp; Seiger Seed Company cataloges</t>
  </si>
  <si>
    <r>
      <t xml:space="preserve">Fertilizer </t>
    </r>
    <r>
      <rPr>
        <b/>
        <vertAlign val="superscript"/>
        <sz val="10"/>
        <color indexed="12"/>
        <rFont val="Arial"/>
        <family val="2"/>
      </rPr>
      <t>3</t>
    </r>
  </si>
  <si>
    <t>Seeding rates based on 30-36" rows with 8-12" in-row (2008 Ohio Vegetable Production Guide pg 247)</t>
  </si>
  <si>
    <t>lb/acre</t>
  </si>
  <si>
    <t>Per Pound/Acre</t>
  </si>
  <si>
    <t>Seeding Rates</t>
  </si>
  <si>
    <t>Application Rates</t>
  </si>
  <si>
    <t>Machinery Inventory</t>
  </si>
  <si>
    <t>Number times used</t>
  </si>
  <si>
    <t>Machinery Cost</t>
  </si>
  <si>
    <t>Acres per Year</t>
  </si>
  <si>
    <t>Cost per Acre</t>
  </si>
  <si>
    <t>Acres/ Hr</t>
  </si>
  <si>
    <t>Fuel*        (gal/A)</t>
  </si>
  <si>
    <t>Repairs ($/A)</t>
  </si>
  <si>
    <t>15 ft. Chisel Plow</t>
  </si>
  <si>
    <t>23 ft. Field Cultivator</t>
  </si>
  <si>
    <t>50 ft. Boom Sprayer</t>
  </si>
  <si>
    <t>8 Row Planter</t>
  </si>
  <si>
    <t>Combine 275 HP</t>
  </si>
  <si>
    <t>-----</t>
  </si>
  <si>
    <t>Corn Head 20'</t>
  </si>
  <si>
    <t>Anhydrous Applic. 21'</t>
  </si>
  <si>
    <t>Fertilizer Spreader</t>
  </si>
  <si>
    <t>Semi Tractor/Trailer**</t>
  </si>
  <si>
    <t>200 HP Tractor</t>
  </si>
  <si>
    <t>75 HP Tractor</t>
  </si>
  <si>
    <t>Pickup Truck (1/2)**</t>
  </si>
  <si>
    <t>Fuel</t>
  </si>
  <si>
    <t>Machinery and Equipment Charge per Acre</t>
  </si>
  <si>
    <t>F&amp;L</t>
  </si>
  <si>
    <t>Price of Diesel Fuel =</t>
  </si>
  <si>
    <t>Machinery cost estimates, fuel estimates and cost calculations based on information from the "Farm Machinery Cost Estimates</t>
  </si>
  <si>
    <t xml:space="preserve">Machinery and Equipment charge = </t>
  </si>
  <si>
    <t>Cost per Acre = Machinery Cost (New Cost) Assumes 8 Year Useful Life using Straight Line Depreciation,</t>
  </si>
  <si>
    <t xml:space="preserve"> 6.0% Interest on Average Value, 0.5% Insurance Cost on Average Value and 1.0% Housing Cost on Average Value.</t>
  </si>
  <si>
    <t>Salvage Values are based on ASAE formulas.</t>
  </si>
  <si>
    <t xml:space="preserve">Machines are all assumed to be new and in the first year of use (Except for Semi Tractor Trailer and Pickup Truck). </t>
  </si>
  <si>
    <t>*Fuel calculations are based on the implement plus tractor.</t>
  </si>
  <si>
    <t>**Semi Tractor Trailer and Pickup Truck are assumed to be used equipment.</t>
  </si>
  <si>
    <t>***Fuel for Semi is included in Budget as Trucking - Fuel Only</t>
  </si>
  <si>
    <t>/ cwt</t>
  </si>
  <si>
    <t>2008 POPCORN PRODUCTION BUDGET</t>
  </si>
  <si>
    <r>
      <t xml:space="preserve">Chemicals </t>
    </r>
    <r>
      <rPr>
        <b/>
        <vertAlign val="superscript"/>
        <sz val="10"/>
        <color indexed="12"/>
        <rFont val="Arial"/>
        <family val="2"/>
      </rPr>
      <t>4</t>
    </r>
  </si>
  <si>
    <t>Herbicide</t>
  </si>
  <si>
    <t>Fungicide</t>
  </si>
  <si>
    <t>Insecticide</t>
  </si>
  <si>
    <t>Updated</t>
  </si>
  <si>
    <t>Popcorn</t>
  </si>
  <si>
    <t>Fertilizer prices vary over time and by area.  Check with local sources for current prices.</t>
  </si>
  <si>
    <t>/ton     MAP(11-52-0):</t>
  </si>
  <si>
    <t>/ton     Potash(0-0-60):</t>
  </si>
  <si>
    <t>Assumes only maintenance application of fertilizer needed  (also assumes same rate as field corn)</t>
  </si>
  <si>
    <t>and soil test values of 25 ppm P/A and 150 ppm K/A.</t>
  </si>
  <si>
    <t xml:space="preserve">Price and yield for shelled popcorn grown under contract.  Some contracts price corn based on a formula related to 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</si>
  <si>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</si>
  <si>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</si>
  <si>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</si>
  <si>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</si>
  <si>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</si>
  <si>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field corn price (e.g. corn futures x 3.6 + $0.35 =$/cwt.) - Dec. futures used in this budget</t>
  </si>
  <si>
    <t>Insurance</t>
  </si>
  <si>
    <t>Machinery</t>
  </si>
  <si>
    <t>Average Value</t>
  </si>
  <si>
    <t>Depreciation</t>
  </si>
  <si>
    <t>Cost Capital</t>
  </si>
  <si>
    <t>Housing</t>
  </si>
  <si>
    <t>Total</t>
  </si>
  <si>
    <t>Cost/acre</t>
  </si>
  <si>
    <t>Anhydrous Applic 21'</t>
  </si>
  <si>
    <r>
      <t>Assumes NH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(82-0-0):</t>
    </r>
  </si>
  <si>
    <r>
      <t xml:space="preserve">Trucking - Fuel Only </t>
    </r>
    <r>
      <rPr>
        <b/>
        <vertAlign val="superscript"/>
        <sz val="10"/>
        <color indexed="12"/>
        <rFont val="Arial"/>
        <family val="2"/>
      </rPr>
      <t>5</t>
    </r>
  </si>
  <si>
    <t>/cwt</t>
  </si>
  <si>
    <t>YIELD (lb/A)</t>
  </si>
  <si>
    <t>Assumes same chemicals/rates as field corn (See 2008 NH3 Corn Budget)</t>
  </si>
  <si>
    <t>Specific rates provided by Andrew Kleinschmidt (OSU Ext. Educator)</t>
  </si>
  <si>
    <r>
      <t xml:space="preserve">Fuel, Oil, Grease </t>
    </r>
    <r>
      <rPr>
        <b/>
        <vertAlign val="superscript"/>
        <sz val="10"/>
        <color indexed="12"/>
        <rFont val="Arial"/>
        <family val="2"/>
      </rPr>
      <t>6</t>
    </r>
  </si>
  <si>
    <r>
      <t xml:space="preserve">Repairs </t>
    </r>
    <r>
      <rPr>
        <b/>
        <vertAlign val="superscript"/>
        <sz val="10"/>
        <color indexed="12"/>
        <rFont val="Arial"/>
        <family val="2"/>
      </rPr>
      <t>7</t>
    </r>
  </si>
  <si>
    <r>
      <t xml:space="preserve">Crop Insurance </t>
    </r>
    <r>
      <rPr>
        <b/>
        <vertAlign val="superscript"/>
        <sz val="10"/>
        <color indexed="12"/>
        <rFont val="Arial"/>
        <family val="2"/>
      </rPr>
      <t>8</t>
    </r>
  </si>
  <si>
    <r>
      <t xml:space="preserve">Hired Labor </t>
    </r>
    <r>
      <rPr>
        <b/>
        <vertAlign val="superscript"/>
        <sz val="10"/>
        <color indexed="12"/>
        <rFont val="Arial"/>
        <family val="2"/>
      </rPr>
      <t>9</t>
    </r>
  </si>
  <si>
    <r>
      <t xml:space="preserve">Miscellaneous </t>
    </r>
    <r>
      <rPr>
        <b/>
        <vertAlign val="superscript"/>
        <sz val="10"/>
        <color indexed="12"/>
        <rFont val="Arial"/>
        <family val="2"/>
      </rPr>
      <t>10</t>
    </r>
  </si>
  <si>
    <r>
      <t xml:space="preserve">Int. on Oper. Cap. </t>
    </r>
    <r>
      <rPr>
        <b/>
        <vertAlign val="superscript"/>
        <sz val="10"/>
        <color indexed="12"/>
        <rFont val="Arial"/>
        <family val="2"/>
      </rPr>
      <t>11</t>
    </r>
  </si>
  <si>
    <r>
      <t xml:space="preserve">Mach. And Equip. Charge </t>
    </r>
    <r>
      <rPr>
        <b/>
        <vertAlign val="superscript"/>
        <sz val="10"/>
        <color indexed="12"/>
        <rFont val="Arial"/>
        <family val="2"/>
      </rPr>
      <t>13</t>
    </r>
  </si>
  <si>
    <r>
      <t xml:space="preserve">Land Charge </t>
    </r>
    <r>
      <rPr>
        <b/>
        <vertAlign val="superscript"/>
        <sz val="10"/>
        <color indexed="12"/>
        <rFont val="Arial"/>
        <family val="2"/>
      </rPr>
      <t>14</t>
    </r>
  </si>
  <si>
    <r>
      <t xml:space="preserve">Management Charge </t>
    </r>
    <r>
      <rPr>
        <b/>
        <vertAlign val="superscript"/>
        <sz val="10"/>
        <color indexed="12"/>
        <rFont val="Arial"/>
        <family val="2"/>
      </rPr>
      <t>15</t>
    </r>
  </si>
  <si>
    <t>Trucking set at .005/cwt based on "12 miles or less" field to market.</t>
  </si>
  <si>
    <t>See table below for specific calculations.  Lubrications costs are assumed to be 10% of fuel costs</t>
  </si>
  <si>
    <t>See table below for specific calculations.</t>
  </si>
  <si>
    <t xml:space="preserve">Part or all of labor may be a variable cost if paid labor varies with acres farmed. It’s a fixed cost </t>
  </si>
  <si>
    <t>if labor costs do not change with acres farmed.</t>
  </si>
  <si>
    <t>Includes supplies, utilities, soil tests, small tools, software/hardware, transport of supplies and equipment, etc…</t>
  </si>
  <si>
    <r>
      <t xml:space="preserve">Labor Charge </t>
    </r>
    <r>
      <rPr>
        <b/>
        <vertAlign val="superscript"/>
        <sz val="10"/>
        <color indexed="12"/>
        <rFont val="Arial"/>
        <family val="2"/>
      </rPr>
      <t>12</t>
    </r>
  </si>
  <si>
    <t xml:space="preserve">Labor rate includes cash wages plus benefits. </t>
  </si>
  <si>
    <t>Large-Scale, Conservation Tillage Practices</t>
  </si>
  <si>
    <t>Reflects 1500 acres, conservation tillage practices. See table below for specific calculations</t>
  </si>
  <si>
    <t>Management Charge is calculated as 5% of Total Receipts.</t>
  </si>
  <si>
    <r>
      <t xml:space="preserve">RETURN TO LABOR AND MANAGEMENT </t>
    </r>
    <r>
      <rPr>
        <b/>
        <vertAlign val="superscript"/>
        <sz val="10"/>
        <color indexed="12"/>
        <rFont val="Arial"/>
        <family val="2"/>
      </rPr>
      <t>16</t>
    </r>
  </si>
  <si>
    <t>RETURN TO LAND</t>
  </si>
  <si>
    <t>Return to labor and management is the revenue less total expenses except operator labor and management.</t>
  </si>
  <si>
    <t>It is a measure of the returns to the operator's labor and management.</t>
  </si>
  <si>
    <t>Hours/ Year</t>
  </si>
  <si>
    <t>Acres/ Year</t>
  </si>
  <si>
    <t xml:space="preserve"> - At Planting</t>
  </si>
  <si>
    <t>- During Silking</t>
  </si>
  <si>
    <t>lb/A</t>
  </si>
  <si>
    <t>fl. oz/A</t>
  </si>
  <si>
    <t>/gal</t>
  </si>
  <si>
    <r>
      <t xml:space="preserve">Authors: Brian Freytag, Ohio State University Extension Intern </t>
    </r>
    <r>
      <rPr>
        <b/>
        <vertAlign val="superscript"/>
        <sz val="10"/>
        <rFont val="Arial"/>
        <family val="2"/>
      </rPr>
      <t>*</t>
    </r>
  </si>
  <si>
    <t>Barry Ward: Leader, Production Business Management*</t>
  </si>
  <si>
    <t>Andrew Kleinschmidt: Extension Educator **</t>
  </si>
  <si>
    <t>* Brian Freytag and Barry Ward are part of the Department of Agricultural, Environmental and Development Economics at OSU</t>
  </si>
  <si>
    <t>** Andrew Kleinschmidt is an extension educator at the Van Wert County Extension Office</t>
  </si>
  <si>
    <t>Crop Insurance cost is based on CRC Insurance at 70% coverage level and 100% Price Protection Level. 2008 Cost Estimates.</t>
  </si>
  <si>
    <t>Interest on all variable costs, except trucking, for 7 months at 9.0% interest rate.</t>
  </si>
  <si>
    <t>Land charges vary throughout the state, check your local rates.</t>
  </si>
  <si>
    <t>http://aede.osu.edu/resources/docs/pdf/UDSIO6SG-9315-IQAW-X7QLG33KLHMNAZZ6.pdf</t>
  </si>
  <si>
    <t>http://www.extension.umn.edu/distribution/businessmanagement/DF6696.pdf</t>
  </si>
  <si>
    <t>March 2008". See the reference online at:</t>
  </si>
  <si>
    <t xml:space="preserve">Average based on 2007-2008 data.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</si>
</sst>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vertAlign val="sub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6" fillId="0" borderId="0" xfId="0" applyFont="1" applyAlignment="1">
      <alignment/>
    </xf>
    <xf numFmtId="165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165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64" fontId="8" fillId="0" borderId="0" xfId="0" applyNumberFormat="1" applyFont="1" applyBorder="1" applyAlignment="1" quotePrefix="1">
      <alignment horizontal="center"/>
    </xf>
    <xf numFmtId="16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3" fontId="8" fillId="0" borderId="2" xfId="17" applyNumberFormat="1" applyFont="1" applyFill="1" applyBorder="1" applyAlignment="1">
      <alignment horizontal="center"/>
    </xf>
    <xf numFmtId="2" fontId="8" fillId="0" borderId="2" xfId="0" applyNumberFormat="1" applyFont="1" applyBorder="1" applyAlignment="1" quotePrefix="1">
      <alignment horizontal="center"/>
    </xf>
    <xf numFmtId="9" fontId="8" fillId="0" borderId="0" xfId="21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3" fontId="9" fillId="0" borderId="0" xfId="15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9" fontId="9" fillId="0" borderId="0" xfId="21" applyFont="1" applyAlignment="1">
      <alignment horizontal="right"/>
    </xf>
    <xf numFmtId="9" fontId="8" fillId="0" borderId="0" xfId="21" applyFont="1" applyAlignment="1">
      <alignment horizontal="right"/>
    </xf>
    <xf numFmtId="173" fontId="8" fillId="0" borderId="0" xfId="15" applyNumberFormat="1" applyFont="1" applyAlignment="1">
      <alignment/>
    </xf>
    <xf numFmtId="2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165" fontId="0" fillId="0" borderId="0" xfId="0" applyNumberFormat="1" applyFont="1" applyAlignment="1">
      <alignment/>
    </xf>
    <xf numFmtId="4" fontId="2" fillId="3" borderId="0" xfId="0" applyNumberFormat="1" applyFont="1" applyFill="1" applyAlignment="1">
      <alignment/>
    </xf>
    <xf numFmtId="2" fontId="2" fillId="3" borderId="4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2" fontId="6" fillId="0" borderId="0" xfId="0" applyNumberFormat="1" applyFont="1" applyAlignment="1" quotePrefix="1">
      <alignment/>
    </xf>
    <xf numFmtId="165" fontId="2" fillId="2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3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172" fontId="2" fillId="2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4" fontId="0" fillId="0" borderId="0" xfId="0" applyNumberFormat="1" applyAlignment="1">
      <alignment/>
    </xf>
    <xf numFmtId="165" fontId="0" fillId="0" borderId="1" xfId="0" applyNumberForma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1" xfId="0" applyNumberFormat="1" applyFill="1" applyBorder="1" applyAlignment="1">
      <alignment/>
    </xf>
    <xf numFmtId="2" fontId="8" fillId="3" borderId="1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39" fontId="8" fillId="3" borderId="2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166" fontId="8" fillId="2" borderId="2" xfId="17" applyNumberFormat="1" applyFont="1" applyFill="1" applyBorder="1" applyAlignment="1">
      <alignment horizontal="center"/>
    </xf>
    <xf numFmtId="3" fontId="8" fillId="2" borderId="2" xfId="17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7" fontId="9" fillId="2" borderId="0" xfId="17" applyNumberFormat="1" applyFont="1" applyFill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Fill="1" applyAlignment="1" quotePrefix="1">
      <alignment horizontal="center"/>
    </xf>
    <xf numFmtId="2" fontId="8" fillId="0" borderId="2" xfId="0" applyNumberFormat="1" applyFont="1" applyFill="1" applyBorder="1" applyAlignment="1" quotePrefix="1">
      <alignment horizontal="center"/>
    </xf>
    <xf numFmtId="2" fontId="9" fillId="0" borderId="0" xfId="0" applyNumberFormat="1" applyFont="1" applyFill="1" applyAlignment="1">
      <alignment/>
    </xf>
    <xf numFmtId="165" fontId="0" fillId="3" borderId="2" xfId="0" applyNumberForma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Alignment="1" quotePrefix="1">
      <alignment horizontal="center"/>
    </xf>
    <xf numFmtId="173" fontId="8" fillId="0" borderId="0" xfId="15" applyNumberFormat="1" applyFont="1" applyFill="1" applyAlignment="1">
      <alignment/>
    </xf>
    <xf numFmtId="0" fontId="0" fillId="0" borderId="2" xfId="0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9" fontId="7" fillId="2" borderId="0" xfId="21" applyFont="1" applyFill="1" applyAlignment="1">
      <alignment/>
    </xf>
    <xf numFmtId="0" fontId="6" fillId="0" borderId="0" xfId="0" applyFont="1" applyAlignment="1">
      <alignment/>
    </xf>
    <xf numFmtId="0" fontId="14" fillId="0" borderId="0" xfId="20" applyFont="1" applyAlignment="1">
      <alignment/>
    </xf>
    <xf numFmtId="0" fontId="15" fillId="0" borderId="0" xfId="0" applyFont="1" applyAlignment="1">
      <alignment/>
    </xf>
    <xf numFmtId="0" fontId="14" fillId="0" borderId="0" xfId="2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476250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de.osu.edu/resources/docs/pdf/UDSIO6SG-9315-IQAW-X7QLG33KLHMNAZZ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1">
      <selection activeCell="M69" sqref="M69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8.7109375" style="0" customWidth="1"/>
    <col min="4" max="4" width="5.140625" style="0" customWidth="1"/>
    <col min="5" max="5" width="9.57421875" style="0" customWidth="1"/>
    <col min="6" max="6" width="9.421875" style="0" customWidth="1"/>
    <col min="7" max="7" width="8.8515625" style="0" customWidth="1"/>
    <col min="8" max="8" width="8.140625" style="0" customWidth="1"/>
    <col min="9" max="9" width="9.421875" style="0" bestFit="1" customWidth="1"/>
    <col min="10" max="10" width="7.28125" style="0" customWidth="1"/>
    <col min="11" max="11" width="8.7109375" style="18" customWidth="1"/>
    <col min="12" max="13" width="8.8515625" style="18" customWidth="1"/>
    <col min="14" max="14" width="11.00390625" style="0" customWidth="1"/>
  </cols>
  <sheetData>
    <row r="1" spans="2:14" ht="15" customHeight="1">
      <c r="B1" s="28"/>
      <c r="C1" s="28"/>
      <c r="D1" s="154" t="s">
        <v>75</v>
      </c>
      <c r="E1" s="154"/>
      <c r="F1" s="154"/>
      <c r="G1" s="154"/>
      <c r="H1" s="154"/>
      <c r="I1" s="154"/>
      <c r="J1" s="154"/>
      <c r="K1" s="154"/>
      <c r="L1" s="154"/>
      <c r="M1" s="154"/>
      <c r="N1" s="28"/>
    </row>
    <row r="2" spans="1:14" ht="15.75" customHeight="1">
      <c r="A2" s="1"/>
      <c r="B2" s="1"/>
      <c r="C2" s="1"/>
      <c r="D2" s="155" t="s">
        <v>126</v>
      </c>
      <c r="E2" s="155"/>
      <c r="F2" s="155"/>
      <c r="G2" s="155"/>
      <c r="H2" s="155"/>
      <c r="I2" s="155"/>
      <c r="J2" s="155"/>
      <c r="K2" s="155"/>
      <c r="L2" s="155"/>
      <c r="M2" s="155"/>
      <c r="N2" s="1"/>
    </row>
    <row r="3" spans="1:14" ht="14.25">
      <c r="A3" s="1"/>
      <c r="B3" s="1"/>
      <c r="C3" s="1"/>
      <c r="D3" s="156" t="s">
        <v>140</v>
      </c>
      <c r="E3" s="156"/>
      <c r="F3" s="156"/>
      <c r="G3" s="156"/>
      <c r="H3" s="156"/>
      <c r="I3" s="156"/>
      <c r="J3" s="156"/>
      <c r="K3" s="156"/>
      <c r="L3" s="156"/>
      <c r="M3" s="156"/>
      <c r="N3" s="1"/>
    </row>
    <row r="4" spans="1:14" ht="12.75">
      <c r="A4" s="1"/>
      <c r="B4" s="1"/>
      <c r="C4" s="1"/>
      <c r="D4" s="157" t="s">
        <v>141</v>
      </c>
      <c r="E4" s="157"/>
      <c r="F4" s="157"/>
      <c r="G4" s="157"/>
      <c r="H4" s="157"/>
      <c r="I4" s="157"/>
      <c r="J4" s="157"/>
      <c r="K4" s="157"/>
      <c r="L4" s="157"/>
      <c r="M4" s="157"/>
      <c r="N4" s="1"/>
    </row>
    <row r="5" spans="1:14" ht="12.75">
      <c r="A5" s="1"/>
      <c r="B5" s="1"/>
      <c r="C5" s="1"/>
      <c r="D5" s="157" t="s">
        <v>142</v>
      </c>
      <c r="E5" s="157"/>
      <c r="F5" s="157"/>
      <c r="G5" s="157"/>
      <c r="H5" s="157"/>
      <c r="I5" s="157"/>
      <c r="J5" s="157"/>
      <c r="K5" s="157"/>
      <c r="L5" s="157"/>
      <c r="M5" s="157"/>
      <c r="N5" s="1"/>
    </row>
    <row r="6" spans="1:14" ht="15.75">
      <c r="A6" s="1"/>
      <c r="B6" s="1"/>
      <c r="C6" s="1"/>
      <c r="D6" s="1"/>
      <c r="E6" s="1"/>
      <c r="F6" s="1"/>
      <c r="G6" s="3"/>
      <c r="H6" s="3"/>
      <c r="I6" s="1"/>
      <c r="J6" s="2"/>
      <c r="K6" s="2"/>
      <c r="L6" s="72" t="s">
        <v>80</v>
      </c>
      <c r="M6" s="2"/>
      <c r="N6" s="71">
        <v>39587</v>
      </c>
    </row>
    <row r="7" spans="1:14" ht="12.75">
      <c r="A7" s="4"/>
      <c r="B7" s="5" t="s">
        <v>0</v>
      </c>
      <c r="C7" s="5"/>
      <c r="D7" s="5"/>
      <c r="E7" s="5"/>
      <c r="F7" s="152" t="s">
        <v>1</v>
      </c>
      <c r="G7" s="152"/>
      <c r="H7" s="7" t="s">
        <v>26</v>
      </c>
      <c r="I7" s="152" t="s">
        <v>19</v>
      </c>
      <c r="J7" s="152"/>
      <c r="K7" s="153" t="s">
        <v>106</v>
      </c>
      <c r="L7" s="153"/>
      <c r="M7" s="153"/>
      <c r="N7" s="7" t="s">
        <v>2</v>
      </c>
    </row>
    <row r="8" spans="1:14" ht="12.75">
      <c r="A8" s="8"/>
      <c r="B8" s="8"/>
      <c r="C8" s="8"/>
      <c r="D8" s="8"/>
      <c r="E8" s="8"/>
      <c r="F8" s="8"/>
      <c r="G8" s="8"/>
      <c r="H8" s="10" t="s">
        <v>27</v>
      </c>
      <c r="I8" s="160" t="s">
        <v>18</v>
      </c>
      <c r="J8" s="160"/>
      <c r="K8" s="9"/>
      <c r="L8" s="9"/>
      <c r="M8" s="9"/>
      <c r="N8" s="10" t="s">
        <v>3</v>
      </c>
    </row>
    <row r="9" spans="1:14" ht="12.75">
      <c r="A9" s="11"/>
      <c r="B9" s="11"/>
      <c r="C9" s="11"/>
      <c r="D9" s="11"/>
      <c r="E9" s="11"/>
      <c r="F9" s="11"/>
      <c r="G9" s="11"/>
      <c r="H9" s="20" t="s">
        <v>28</v>
      </c>
      <c r="I9" s="11"/>
      <c r="J9" s="11"/>
      <c r="K9" s="12">
        <v>2600</v>
      </c>
      <c r="L9" s="12">
        <v>3400</v>
      </c>
      <c r="M9" s="12">
        <v>4200</v>
      </c>
      <c r="N9" s="21">
        <v>4300</v>
      </c>
    </row>
    <row r="10" spans="1:14" ht="14.25">
      <c r="A10" s="13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4"/>
      <c r="L10" s="14"/>
      <c r="M10" s="14"/>
      <c r="N10" s="13"/>
    </row>
    <row r="11" spans="1:14" ht="12.75">
      <c r="A11" s="1"/>
      <c r="B11" s="1" t="s">
        <v>81</v>
      </c>
      <c r="C11" s="1"/>
      <c r="D11" s="1"/>
      <c r="E11" s="1"/>
      <c r="F11" s="1"/>
      <c r="G11" s="1"/>
      <c r="H11" s="1"/>
      <c r="I11" s="29">
        <f>6.04*3.6+0.35</f>
        <v>22.094</v>
      </c>
      <c r="J11" s="1" t="s">
        <v>74</v>
      </c>
      <c r="K11" s="68">
        <f>+$I$11*K9/100</f>
        <v>574.444</v>
      </c>
      <c r="L11" s="68">
        <f>+$I$11*L9/100</f>
        <v>751.196</v>
      </c>
      <c r="M11" s="68">
        <f>+$I$11*M9/100</f>
        <v>927.948</v>
      </c>
      <c r="N11" s="23">
        <f>I11*N9/100</f>
        <v>950.0420000000001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7"/>
    </row>
    <row r="13" spans="1:14" ht="12.75">
      <c r="A13" s="13" t="s">
        <v>4</v>
      </c>
      <c r="B13" s="1"/>
      <c r="C13" s="1"/>
      <c r="D13" s="1"/>
      <c r="E13" s="159" t="s">
        <v>38</v>
      </c>
      <c r="F13" s="159"/>
      <c r="G13" s="159"/>
      <c r="H13" s="159"/>
      <c r="I13" s="1"/>
      <c r="J13" s="1"/>
      <c r="K13" s="2"/>
      <c r="L13" s="2"/>
      <c r="M13" s="2"/>
      <c r="N13" s="27"/>
    </row>
    <row r="14" spans="1:14" ht="14.25">
      <c r="A14" s="1"/>
      <c r="B14" s="1" t="s">
        <v>32</v>
      </c>
      <c r="C14" s="1"/>
      <c r="D14" s="1"/>
      <c r="E14" s="1">
        <v>24000</v>
      </c>
      <c r="F14" s="1">
        <v>26000</v>
      </c>
      <c r="G14" s="1">
        <v>30000</v>
      </c>
      <c r="H14" s="30">
        <v>28000</v>
      </c>
      <c r="I14" s="29">
        <v>10</v>
      </c>
      <c r="J14" s="1" t="s">
        <v>30</v>
      </c>
      <c r="K14" s="2">
        <f>+$I$14*E14/10000</f>
        <v>24</v>
      </c>
      <c r="L14" s="2">
        <f>+$I$14*F14/10000</f>
        <v>26</v>
      </c>
      <c r="M14" s="2">
        <f>+$I$14*G14/10000</f>
        <v>30</v>
      </c>
      <c r="N14" s="24">
        <f>+$I$14*$H$14/10000</f>
        <v>28</v>
      </c>
    </row>
    <row r="15" spans="1:14" ht="12.75">
      <c r="A15" s="1"/>
      <c r="B15" s="1"/>
      <c r="C15" s="1" t="s">
        <v>37</v>
      </c>
      <c r="D15" s="1"/>
      <c r="F15" s="30"/>
      <c r="G15" s="1" t="s">
        <v>36</v>
      </c>
      <c r="I15" s="29"/>
      <c r="J15" s="2" t="s">
        <v>31</v>
      </c>
      <c r="K15" s="2"/>
      <c r="L15" s="2"/>
      <c r="M15" s="2"/>
      <c r="N15" s="24">
        <f>F15*I15</f>
        <v>0</v>
      </c>
    </row>
    <row r="16" spans="1:14" ht="14.25">
      <c r="A16" s="1"/>
      <c r="B16" s="1" t="s">
        <v>34</v>
      </c>
      <c r="C16" s="1"/>
      <c r="D16" s="1"/>
      <c r="E16" s="159" t="s">
        <v>39</v>
      </c>
      <c r="F16" s="159"/>
      <c r="G16" s="159"/>
      <c r="H16" s="159"/>
      <c r="I16" s="1"/>
      <c r="J16" s="1"/>
      <c r="K16" s="2"/>
      <c r="L16" s="2"/>
      <c r="M16" s="2"/>
      <c r="N16" s="24"/>
    </row>
    <row r="17" spans="1:14" ht="12.75">
      <c r="A17" s="1"/>
      <c r="B17" s="1"/>
      <c r="C17" s="1" t="s">
        <v>20</v>
      </c>
      <c r="D17" s="1"/>
      <c r="E17" s="1">
        <v>128</v>
      </c>
      <c r="F17" s="1">
        <v>146</v>
      </c>
      <c r="G17" s="1">
        <v>165</v>
      </c>
      <c r="H17" s="30">
        <v>165</v>
      </c>
      <c r="I17" s="29">
        <f>F69/1640</f>
        <v>0.4878048780487805</v>
      </c>
      <c r="J17" s="1" t="s">
        <v>17</v>
      </c>
      <c r="K17" s="2">
        <f>+$I$17*E17</f>
        <v>62.4390243902439</v>
      </c>
      <c r="L17" s="2">
        <f>+$I$17*F17</f>
        <v>71.21951219512195</v>
      </c>
      <c r="M17" s="2">
        <f>+$I$17*G17</f>
        <v>80.48780487804878</v>
      </c>
      <c r="N17" s="24">
        <f>+$I$17*$H$17</f>
        <v>80.48780487804878</v>
      </c>
    </row>
    <row r="18" spans="1:14" ht="12.75">
      <c r="A18" s="1"/>
      <c r="B18" s="1"/>
      <c r="C18" s="1" t="s">
        <v>21</v>
      </c>
      <c r="D18" s="1"/>
      <c r="E18" s="1">
        <v>43.29</v>
      </c>
      <c r="F18" s="1">
        <v>55.5</v>
      </c>
      <c r="G18" s="1">
        <v>66.97</v>
      </c>
      <c r="H18" s="30">
        <v>66.97</v>
      </c>
      <c r="I18" s="76">
        <f>I69/1040</f>
        <v>0.8653846153846154</v>
      </c>
      <c r="J18" s="1" t="s">
        <v>17</v>
      </c>
      <c r="K18" s="2">
        <f>+$I$18*E18</f>
        <v>37.4625</v>
      </c>
      <c r="L18" s="2">
        <f>+$I$18*F18</f>
        <v>48.02884615384615</v>
      </c>
      <c r="M18" s="2">
        <f>+$I$18*G18</f>
        <v>57.954807692307696</v>
      </c>
      <c r="N18" s="24">
        <f>+$I$18*$H$18</f>
        <v>57.954807692307696</v>
      </c>
    </row>
    <row r="19" spans="1:14" ht="12.75">
      <c r="A19" s="1"/>
      <c r="B19" s="1"/>
      <c r="C19" s="1" t="s">
        <v>22</v>
      </c>
      <c r="D19" s="1"/>
      <c r="E19" s="1">
        <v>31.59</v>
      </c>
      <c r="F19" s="1">
        <v>40.5</v>
      </c>
      <c r="G19" s="1">
        <v>48.87</v>
      </c>
      <c r="H19" s="30">
        <v>48.87</v>
      </c>
      <c r="I19" s="29">
        <f>L69/1200</f>
        <v>0.4841666666666667</v>
      </c>
      <c r="J19" s="1" t="s">
        <v>17</v>
      </c>
      <c r="K19" s="2">
        <f>+$I$19*E19</f>
        <v>15.294825000000001</v>
      </c>
      <c r="L19" s="2">
        <f>+$I$19*F19</f>
        <v>19.60875</v>
      </c>
      <c r="M19" s="2">
        <f>+$I$19*G19</f>
        <v>23.661224999999998</v>
      </c>
      <c r="N19" s="24">
        <f>+$I$19*$H$19</f>
        <v>23.661224999999998</v>
      </c>
    </row>
    <row r="20" spans="1:14" ht="12.75">
      <c r="A20" s="1"/>
      <c r="B20" s="1"/>
      <c r="C20" s="1" t="s">
        <v>29</v>
      </c>
      <c r="D20" s="1"/>
      <c r="E20" s="1"/>
      <c r="F20" s="1">
        <v>0.25</v>
      </c>
      <c r="G20" s="1"/>
      <c r="H20" s="30">
        <v>0.25</v>
      </c>
      <c r="I20" s="29">
        <v>23.5</v>
      </c>
      <c r="J20" s="1" t="s">
        <v>5</v>
      </c>
      <c r="K20" s="2">
        <f>$F$20*$I$20</f>
        <v>5.875</v>
      </c>
      <c r="L20" s="2">
        <f>$F$20*$I$20</f>
        <v>5.875</v>
      </c>
      <c r="M20" s="2">
        <f>$F$20*$I$20</f>
        <v>5.875</v>
      </c>
      <c r="N20" s="24">
        <f>$F$20*$I$20</f>
        <v>5.875</v>
      </c>
    </row>
    <row r="21" spans="1:14" ht="14.25">
      <c r="A21" s="1"/>
      <c r="B21" s="1" t="s">
        <v>76</v>
      </c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5"/>
    </row>
    <row r="22" spans="1:14" ht="12.75">
      <c r="A22" s="1"/>
      <c r="C22" s="1" t="s">
        <v>77</v>
      </c>
      <c r="D22" s="1"/>
      <c r="E22" s="1"/>
      <c r="G22" s="1"/>
      <c r="H22" s="65"/>
      <c r="I22" s="65"/>
      <c r="J22" s="1"/>
      <c r="K22" s="2">
        <v>26.86</v>
      </c>
      <c r="L22" s="2">
        <v>26.86</v>
      </c>
      <c r="M22" s="2">
        <v>26.86</v>
      </c>
      <c r="N22" s="26">
        <v>26.86</v>
      </c>
    </row>
    <row r="23" spans="1:14" ht="12.75">
      <c r="A23" s="1"/>
      <c r="B23" s="1"/>
      <c r="C23" s="1" t="s">
        <v>79</v>
      </c>
      <c r="D23" s="1"/>
      <c r="E23" s="64"/>
      <c r="F23" s="64"/>
      <c r="G23" s="64"/>
      <c r="H23" s="64"/>
      <c r="I23" s="1"/>
      <c r="J23" s="1"/>
      <c r="K23" s="2"/>
      <c r="L23" s="2"/>
      <c r="M23" s="2"/>
      <c r="N23" s="25"/>
    </row>
    <row r="24" spans="1:14" ht="12.75">
      <c r="A24" s="1"/>
      <c r="B24" s="1"/>
      <c r="C24" s="1" t="s">
        <v>135</v>
      </c>
      <c r="D24" s="1"/>
      <c r="E24" s="64"/>
      <c r="F24" s="64"/>
      <c r="G24" s="30">
        <v>8.7</v>
      </c>
      <c r="H24" t="s">
        <v>137</v>
      </c>
      <c r="I24" s="29">
        <v>2.23</v>
      </c>
      <c r="J24" s="1" t="s">
        <v>31</v>
      </c>
      <c r="K24" s="2">
        <f>$G24*$I24</f>
        <v>19.401</v>
      </c>
      <c r="L24" s="2">
        <f>$G24*$I24</f>
        <v>19.401</v>
      </c>
      <c r="M24" s="2">
        <f>$G24*$I24</f>
        <v>19.401</v>
      </c>
      <c r="N24" s="85">
        <f>$G24*$I24</f>
        <v>19.401</v>
      </c>
    </row>
    <row r="25" spans="1:14" ht="12.75">
      <c r="A25" s="1"/>
      <c r="B25" s="1"/>
      <c r="C25" s="144" t="s">
        <v>136</v>
      </c>
      <c r="D25" s="1"/>
      <c r="E25" s="64"/>
      <c r="F25" s="64"/>
      <c r="G25" s="30">
        <v>9.6</v>
      </c>
      <c r="H25" t="s">
        <v>138</v>
      </c>
      <c r="I25" s="29">
        <v>87.31</v>
      </c>
      <c r="J25" s="1" t="s">
        <v>139</v>
      </c>
      <c r="K25" s="2">
        <f>($G25*$I25)/128</f>
        <v>6.54825</v>
      </c>
      <c r="L25" s="2">
        <f>($G25*$I25)/128</f>
        <v>6.54825</v>
      </c>
      <c r="M25" s="2">
        <f>($G25*$I25)/128</f>
        <v>6.54825</v>
      </c>
      <c r="N25" s="85">
        <f>($G25*$I25)/128</f>
        <v>6.54825</v>
      </c>
    </row>
    <row r="26" spans="1:14" ht="12.75">
      <c r="A26" s="1"/>
      <c r="B26" s="1"/>
      <c r="C26" s="1" t="s">
        <v>78</v>
      </c>
      <c r="D26" s="1"/>
      <c r="E26" s="1"/>
      <c r="F26" s="1"/>
      <c r="G26" s="1"/>
      <c r="H26" s="65"/>
      <c r="I26" s="65"/>
      <c r="J26" s="1"/>
      <c r="K26" s="2"/>
      <c r="L26" s="2"/>
      <c r="M26" s="2"/>
      <c r="N26" s="26"/>
    </row>
    <row r="27" spans="1:14" ht="14.25">
      <c r="A27" s="1"/>
      <c r="B27" s="1" t="s">
        <v>104</v>
      </c>
      <c r="C27" s="1"/>
      <c r="D27" s="1"/>
      <c r="E27" s="1"/>
      <c r="F27" s="1"/>
      <c r="G27" s="1"/>
      <c r="H27" s="65"/>
      <c r="I27" s="30">
        <v>0.005</v>
      </c>
      <c r="J27" s="1" t="s">
        <v>105</v>
      </c>
      <c r="K27" s="2">
        <f>$I27*K9</f>
        <v>13</v>
      </c>
      <c r="L27" s="2">
        <f>$I27*L9</f>
        <v>17</v>
      </c>
      <c r="M27" s="2">
        <f>$I27*M9</f>
        <v>21</v>
      </c>
      <c r="N27" s="69">
        <f>$I27*N9</f>
        <v>21.5</v>
      </c>
    </row>
    <row r="28" spans="1:14" ht="14.25">
      <c r="A28" s="1"/>
      <c r="B28" s="1" t="s">
        <v>109</v>
      </c>
      <c r="C28" s="1"/>
      <c r="D28" s="1"/>
      <c r="E28" s="1"/>
      <c r="F28" s="1"/>
      <c r="G28" s="1"/>
      <c r="H28" s="1"/>
      <c r="I28" s="1"/>
      <c r="J28" s="1"/>
      <c r="K28" s="2">
        <f>$K$102</f>
        <v>18.872700000000005</v>
      </c>
      <c r="L28" s="2">
        <f>$K$102</f>
        <v>18.872700000000005</v>
      </c>
      <c r="M28" s="2">
        <f>$K$102</f>
        <v>18.872700000000005</v>
      </c>
      <c r="N28" s="69">
        <f>$K$102</f>
        <v>18.872700000000005</v>
      </c>
    </row>
    <row r="29" spans="1:14" ht="14.25">
      <c r="A29" s="1"/>
      <c r="B29" s="1" t="s">
        <v>110</v>
      </c>
      <c r="C29" s="1"/>
      <c r="D29" s="1"/>
      <c r="E29" s="1"/>
      <c r="F29" s="1"/>
      <c r="G29" s="1"/>
      <c r="H29" s="1"/>
      <c r="I29" s="1"/>
      <c r="J29" s="1"/>
      <c r="K29" s="2">
        <f>$M$102</f>
        <v>15.233785091171995</v>
      </c>
      <c r="L29" s="2">
        <f>$M$102</f>
        <v>15.233785091171995</v>
      </c>
      <c r="M29" s="2">
        <f>$M$102</f>
        <v>15.233785091171995</v>
      </c>
      <c r="N29" s="69">
        <f>$M$102</f>
        <v>15.233785091171995</v>
      </c>
    </row>
    <row r="30" spans="1:14" ht="14.25">
      <c r="A30" s="1"/>
      <c r="B30" s="1" t="s">
        <v>111</v>
      </c>
      <c r="C30" s="1"/>
      <c r="D30" s="1"/>
      <c r="E30" s="1"/>
      <c r="F30" s="1"/>
      <c r="G30" s="1"/>
      <c r="H30" s="1"/>
      <c r="I30" s="1"/>
      <c r="J30" s="1"/>
      <c r="K30" s="2">
        <v>15</v>
      </c>
      <c r="L30" s="2">
        <v>15.5</v>
      </c>
      <c r="M30" s="2">
        <v>17</v>
      </c>
      <c r="N30" s="88">
        <v>19</v>
      </c>
    </row>
    <row r="31" spans="1:14" ht="14.25">
      <c r="A31" s="1"/>
      <c r="B31" s="1" t="s">
        <v>112</v>
      </c>
      <c r="C31" s="1"/>
      <c r="D31" s="1"/>
      <c r="E31" s="1"/>
      <c r="F31" s="1"/>
      <c r="G31" s="1"/>
      <c r="H31" s="1"/>
      <c r="I31" s="1"/>
      <c r="J31" s="1"/>
      <c r="K31" s="2">
        <v>0</v>
      </c>
      <c r="L31" s="2">
        <v>0</v>
      </c>
      <c r="M31" s="2">
        <v>0</v>
      </c>
      <c r="N31" s="26">
        <v>0</v>
      </c>
    </row>
    <row r="32" spans="1:14" ht="14.25">
      <c r="A32" s="1"/>
      <c r="B32" s="1" t="s">
        <v>113</v>
      </c>
      <c r="C32" s="1"/>
      <c r="D32" s="1"/>
      <c r="E32" s="1"/>
      <c r="F32" s="1"/>
      <c r="G32" s="1"/>
      <c r="H32" s="1"/>
      <c r="I32" s="1"/>
      <c r="J32" s="1"/>
      <c r="K32" s="2">
        <v>8</v>
      </c>
      <c r="L32" s="2">
        <v>9</v>
      </c>
      <c r="M32" s="2">
        <v>10</v>
      </c>
      <c r="N32" s="26">
        <v>10</v>
      </c>
    </row>
    <row r="33" spans="1:14" ht="14.25">
      <c r="A33" s="1"/>
      <c r="B33" s="1" t="s">
        <v>114</v>
      </c>
      <c r="C33" s="1"/>
      <c r="D33" s="1"/>
      <c r="E33" s="1"/>
      <c r="F33" s="86">
        <v>7</v>
      </c>
      <c r="G33" s="1" t="s">
        <v>7</v>
      </c>
      <c r="H33" s="1"/>
      <c r="I33" s="87">
        <v>0.09</v>
      </c>
      <c r="J33" s="1"/>
      <c r="K33" s="66">
        <f>SUM(K14:K32)*$I33*($F33/12)</f>
        <v>14.069321935274335</v>
      </c>
      <c r="L33" s="66">
        <f>SUM(L14:L32)*$I33*($F33/12)</f>
        <v>15.705261780607358</v>
      </c>
      <c r="M33" s="66">
        <f>SUM(M14:M32)*$I33*($F33/12)</f>
        <v>17.476965064730248</v>
      </c>
      <c r="N33" s="70">
        <f>SUM(N14:N26,N28:N32)*$I33*($F33/12)</f>
        <v>16.37446506473025</v>
      </c>
    </row>
    <row r="34" spans="1:14" ht="5.25" customHeight="1">
      <c r="A34" s="1"/>
      <c r="B34" s="1"/>
      <c r="C34" s="1"/>
      <c r="D34" s="1"/>
      <c r="E34" s="1"/>
      <c r="F34" s="15"/>
      <c r="G34" s="1"/>
      <c r="H34" s="1"/>
      <c r="I34" s="16"/>
      <c r="J34" s="1"/>
      <c r="K34" s="9"/>
      <c r="L34" s="9"/>
      <c r="M34" s="9"/>
      <c r="N34" s="24"/>
    </row>
    <row r="35" spans="1:14" ht="12.75">
      <c r="A35" s="13" t="s">
        <v>8</v>
      </c>
      <c r="B35" s="1"/>
      <c r="C35" s="1"/>
      <c r="D35" s="1"/>
      <c r="E35" s="1"/>
      <c r="G35" s="17" t="s">
        <v>9</v>
      </c>
      <c r="H35" s="17"/>
      <c r="I35" s="1"/>
      <c r="J35" s="1"/>
      <c r="K35" s="2">
        <f>SUM(K14:K33)</f>
        <v>282.0564064166902</v>
      </c>
      <c r="L35" s="2">
        <f>SUM(L14:L33)</f>
        <v>314.8531052207475</v>
      </c>
      <c r="M35" s="2">
        <f>SUM(M14:M33)</f>
        <v>350.37153772625874</v>
      </c>
      <c r="N35" s="24">
        <f>SUM(N14:N33)</f>
        <v>349.7690377262588</v>
      </c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4"/>
    </row>
    <row r="37" spans="1:14" ht="12.75">
      <c r="A37" s="13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5"/>
    </row>
    <row r="38" spans="1:14" ht="14.25">
      <c r="A38" s="1"/>
      <c r="B38" s="1" t="s">
        <v>124</v>
      </c>
      <c r="C38" s="1"/>
      <c r="D38" s="1"/>
      <c r="E38" s="1"/>
      <c r="F38" s="83">
        <v>3.6</v>
      </c>
      <c r="G38" s="1" t="s">
        <v>11</v>
      </c>
      <c r="H38" s="1"/>
      <c r="I38" s="84">
        <v>13.5</v>
      </c>
      <c r="J38" s="1" t="s">
        <v>23</v>
      </c>
      <c r="K38" s="2">
        <f>+$F$38*$I$38</f>
        <v>48.6</v>
      </c>
      <c r="L38" s="2">
        <f>+$F$38*$I$38</f>
        <v>48.6</v>
      </c>
      <c r="M38" s="2">
        <f>+$F$38*$I$38</f>
        <v>48.6</v>
      </c>
      <c r="N38" s="85">
        <f>+$F$38*$I$38</f>
        <v>48.6</v>
      </c>
    </row>
    <row r="39" spans="1:14" ht="14.25">
      <c r="A39" s="1"/>
      <c r="B39" s="1" t="s">
        <v>115</v>
      </c>
      <c r="C39" s="1"/>
      <c r="D39" s="1"/>
      <c r="E39" s="1"/>
      <c r="F39" s="1"/>
      <c r="G39" s="1"/>
      <c r="H39" s="1"/>
      <c r="I39" s="1"/>
      <c r="J39" s="1"/>
      <c r="K39" s="2">
        <f>$I$102</f>
        <v>65.07227770833333</v>
      </c>
      <c r="L39" s="2">
        <f>$I$102</f>
        <v>65.07227770833333</v>
      </c>
      <c r="M39" s="2">
        <f>$I$102</f>
        <v>65.07227770833333</v>
      </c>
      <c r="N39" s="69">
        <f>$I$102</f>
        <v>65.07227770833333</v>
      </c>
    </row>
    <row r="40" spans="1:14" ht="14.25">
      <c r="A40" s="1"/>
      <c r="B40" s="1" t="s">
        <v>116</v>
      </c>
      <c r="C40" s="1"/>
      <c r="D40" s="1"/>
      <c r="E40" s="1"/>
      <c r="F40" s="1" t="s">
        <v>12</v>
      </c>
      <c r="G40" s="1"/>
      <c r="H40" s="1"/>
      <c r="I40" s="1"/>
      <c r="J40" s="1"/>
      <c r="K40" s="2">
        <v>94.82</v>
      </c>
      <c r="L40" s="2">
        <v>123.5</v>
      </c>
      <c r="M40" s="2">
        <v>156.88</v>
      </c>
      <c r="N40" s="26">
        <v>156.88</v>
      </c>
    </row>
    <row r="41" spans="1:14" ht="14.25">
      <c r="A41" s="1"/>
      <c r="B41" s="1" t="s">
        <v>117</v>
      </c>
      <c r="C41" s="1"/>
      <c r="D41" s="1"/>
      <c r="E41" s="1"/>
      <c r="F41" s="145">
        <v>0.05</v>
      </c>
      <c r="G41" s="1" t="s">
        <v>25</v>
      </c>
      <c r="H41" s="1"/>
      <c r="I41" s="1"/>
      <c r="J41" s="1"/>
      <c r="K41" s="66">
        <f>F41*K11</f>
        <v>28.7222</v>
      </c>
      <c r="L41" s="66">
        <f>F41*L11</f>
        <v>37.5598</v>
      </c>
      <c r="M41" s="66">
        <f>F41*M11</f>
        <v>46.397400000000005</v>
      </c>
      <c r="N41" s="70">
        <f>F41*N11</f>
        <v>47.50210000000001</v>
      </c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67"/>
      <c r="L42" s="67"/>
      <c r="M42" s="67"/>
      <c r="N42" s="25"/>
    </row>
    <row r="43" spans="1:14" ht="12.75">
      <c r="A43" s="13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2">
        <f>SUM(K38:K42)</f>
        <v>237.21447770833333</v>
      </c>
      <c r="L43" s="2">
        <f>SUM(L38:L42)</f>
        <v>274.73207770833335</v>
      </c>
      <c r="M43" s="2">
        <f>SUM(M38:M42)</f>
        <v>316.94967770833335</v>
      </c>
      <c r="N43" s="24">
        <f>SUM(N38:N41)</f>
        <v>318.0543777083334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5"/>
    </row>
    <row r="45" spans="1:14" ht="12.75">
      <c r="A45" s="13" t="s">
        <v>14</v>
      </c>
      <c r="B45" s="1"/>
      <c r="C45" s="1"/>
      <c r="D45" s="1"/>
      <c r="E45" s="1"/>
      <c r="F45" s="1"/>
      <c r="G45" s="17" t="s">
        <v>9</v>
      </c>
      <c r="H45" s="17"/>
      <c r="I45" s="1"/>
      <c r="J45" s="1"/>
      <c r="K45" s="2">
        <f>+K35+K43</f>
        <v>519.2708841250235</v>
      </c>
      <c r="L45" s="2">
        <f>+L35+L43</f>
        <v>589.5851829290809</v>
      </c>
      <c r="M45" s="2">
        <f>+M35+M43</f>
        <v>667.3212154345921</v>
      </c>
      <c r="N45" s="24">
        <f>$N$43+$N$35</f>
        <v>667.8234154345921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4"/>
    </row>
    <row r="47" spans="1:14" ht="12.75">
      <c r="A47" s="13" t="s">
        <v>15</v>
      </c>
      <c r="B47" s="1"/>
      <c r="C47" s="1"/>
      <c r="D47" s="1"/>
      <c r="E47" s="1"/>
      <c r="F47" s="1"/>
      <c r="G47" s="1"/>
      <c r="H47" s="1"/>
      <c r="I47" s="1"/>
      <c r="J47" s="1"/>
      <c r="K47" s="2">
        <f>+K11-K35</f>
        <v>292.38759358330975</v>
      </c>
      <c r="L47" s="2">
        <f>+L11-L35</f>
        <v>436.3428947792525</v>
      </c>
      <c r="M47" s="2">
        <f>+M11-M35</f>
        <v>577.5764622737413</v>
      </c>
      <c r="N47" s="24">
        <f>+N11-N35</f>
        <v>600.2729622737413</v>
      </c>
    </row>
    <row r="48" spans="1:14" ht="12.75">
      <c r="A48" s="1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2">
        <f>+K11-K45</f>
        <v>55.173115874976475</v>
      </c>
      <c r="L48" s="2">
        <f>+L11-L45</f>
        <v>161.6108170709191</v>
      </c>
      <c r="M48" s="2">
        <f>+M11-M45</f>
        <v>260.6267845654079</v>
      </c>
      <c r="N48" s="85">
        <f>+N11-N45</f>
        <v>282.21858456540804</v>
      </c>
    </row>
    <row r="49" spans="1:14" ht="14.25">
      <c r="A49" s="13" t="s">
        <v>129</v>
      </c>
      <c r="B49" s="1"/>
      <c r="C49" s="1"/>
      <c r="D49" s="1"/>
      <c r="E49" s="1"/>
      <c r="F49" s="1"/>
      <c r="G49" s="1"/>
      <c r="H49" s="1"/>
      <c r="I49" s="1"/>
      <c r="J49" s="1"/>
      <c r="K49" s="130">
        <f>K38+K41+K48</f>
        <v>132.49531587497648</v>
      </c>
      <c r="L49" s="130">
        <f>L38+L41+L48</f>
        <v>247.77061707091912</v>
      </c>
      <c r="M49" s="130">
        <f>M38+M41+M48</f>
        <v>355.62418456540786</v>
      </c>
      <c r="N49" s="85">
        <f>N38+N41+N48</f>
        <v>378.32068456540804</v>
      </c>
    </row>
    <row r="50" spans="1:14" ht="12.75">
      <c r="A50" s="13" t="s">
        <v>130</v>
      </c>
      <c r="B50" s="1"/>
      <c r="C50" s="1"/>
      <c r="D50" s="1"/>
      <c r="E50" s="1"/>
      <c r="F50" s="1"/>
      <c r="G50" s="1"/>
      <c r="H50" s="1"/>
      <c r="I50" s="1"/>
      <c r="J50" s="1"/>
      <c r="K50" s="130">
        <f>K40+K48</f>
        <v>149.99311587497647</v>
      </c>
      <c r="L50" s="130">
        <f>L40+L48</f>
        <v>285.1108170709191</v>
      </c>
      <c r="M50" s="130">
        <f>M40+M48</f>
        <v>417.5067845654079</v>
      </c>
      <c r="N50" s="85">
        <f>N40+N48</f>
        <v>439.09858456540803</v>
      </c>
    </row>
    <row r="51" spans="1:14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1"/>
    </row>
    <row r="52" spans="1:14" ht="6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6"/>
      <c r="L52" s="6"/>
      <c r="M52" s="6"/>
      <c r="N52" s="4"/>
    </row>
    <row r="53" spans="1:14" ht="12.75">
      <c r="A53" s="22" t="s">
        <v>88</v>
      </c>
      <c r="B53" s="77"/>
      <c r="C53" s="77"/>
      <c r="D53" s="78"/>
      <c r="E53" s="77"/>
      <c r="F53" s="77"/>
      <c r="G53" s="77"/>
      <c r="H53" s="77"/>
      <c r="I53" s="77"/>
      <c r="J53" s="77"/>
      <c r="K53" s="79"/>
      <c r="L53" s="79"/>
      <c r="M53" s="79"/>
      <c r="N53" s="77"/>
    </row>
    <row r="54" spans="1:14" ht="12.75">
      <c r="A54" s="22"/>
      <c r="B54" s="22" t="s">
        <v>89</v>
      </c>
      <c r="C54" s="77"/>
      <c r="D54" s="77"/>
      <c r="E54" s="77"/>
      <c r="F54" s="77"/>
      <c r="G54" s="77"/>
      <c r="H54" s="77"/>
      <c r="I54" s="77"/>
      <c r="J54" s="77"/>
      <c r="K54" s="79"/>
      <c r="L54" s="79"/>
      <c r="M54" s="79"/>
      <c r="N54" s="77"/>
    </row>
    <row r="55" spans="1:14" ht="12.75">
      <c r="A55" s="22" t="s">
        <v>90</v>
      </c>
      <c r="B55" s="22"/>
      <c r="C55" s="77"/>
      <c r="D55" s="80"/>
      <c r="E55" s="77"/>
      <c r="F55" s="77"/>
      <c r="G55" s="77"/>
      <c r="H55" s="77"/>
      <c r="I55" s="77"/>
      <c r="J55" s="77"/>
      <c r="K55" s="79"/>
      <c r="L55" s="79"/>
      <c r="M55" s="79"/>
      <c r="N55" s="77"/>
    </row>
    <row r="56" spans="1:14" ht="12.75">
      <c r="A56" s="22"/>
      <c r="B56" s="22" t="s">
        <v>91</v>
      </c>
      <c r="C56" s="77"/>
      <c r="D56" s="77"/>
      <c r="E56" s="77"/>
      <c r="F56" s="77"/>
      <c r="G56" s="77"/>
      <c r="H56" s="77"/>
      <c r="I56" s="77"/>
      <c r="J56" s="77"/>
      <c r="K56" s="79"/>
      <c r="L56" s="79"/>
      <c r="M56" s="79"/>
      <c r="N56" s="77"/>
    </row>
    <row r="57" spans="1:14" ht="12.75">
      <c r="A57" s="22" t="s">
        <v>92</v>
      </c>
      <c r="B57" s="77"/>
      <c r="C57" s="77"/>
      <c r="D57" s="81"/>
      <c r="E57" s="77"/>
      <c r="F57" s="77"/>
      <c r="G57" s="77"/>
      <c r="H57" s="77"/>
      <c r="I57" s="77"/>
      <c r="J57" s="77"/>
      <c r="K57" s="79"/>
      <c r="L57" s="79"/>
      <c r="M57" s="79"/>
      <c r="N57" s="77"/>
    </row>
    <row r="58" spans="1:14" ht="12.75">
      <c r="A58" s="22" t="s">
        <v>143</v>
      </c>
      <c r="B58" s="77"/>
      <c r="C58" s="77"/>
      <c r="D58" s="82"/>
      <c r="E58" s="77"/>
      <c r="F58" s="77"/>
      <c r="G58" s="77"/>
      <c r="H58" s="77"/>
      <c r="I58" s="77"/>
      <c r="J58" s="77"/>
      <c r="K58" s="79"/>
      <c r="L58" s="79"/>
      <c r="M58" s="79"/>
      <c r="N58" s="77"/>
    </row>
    <row r="59" spans="1:14" ht="12.75">
      <c r="A59" s="22" t="s">
        <v>144</v>
      </c>
      <c r="B59" s="77"/>
      <c r="C59" s="77"/>
      <c r="D59" s="82"/>
      <c r="E59" s="77"/>
      <c r="F59" s="77"/>
      <c r="G59" s="77"/>
      <c r="H59" s="77"/>
      <c r="I59" s="77"/>
      <c r="J59" s="77"/>
      <c r="K59" s="79"/>
      <c r="L59" s="79"/>
      <c r="M59" s="79"/>
      <c r="N59" s="77"/>
    </row>
    <row r="60" spans="1:14" ht="12.75">
      <c r="A60" s="22"/>
      <c r="B60" s="77"/>
      <c r="C60" s="77"/>
      <c r="D60" s="82"/>
      <c r="E60" s="77"/>
      <c r="F60" s="77"/>
      <c r="G60" s="77"/>
      <c r="H60" s="77"/>
      <c r="I60" s="77"/>
      <c r="J60" s="77"/>
      <c r="K60" s="79"/>
      <c r="L60" s="79"/>
      <c r="M60" s="79"/>
      <c r="N60" s="77"/>
    </row>
    <row r="61" spans="1:15" ht="14.25">
      <c r="A61" s="19">
        <v>1</v>
      </c>
      <c r="B61" s="22" t="s">
        <v>87</v>
      </c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1"/>
      <c r="O61" s="73"/>
    </row>
    <row r="62" spans="1:15" ht="14.25">
      <c r="A62" s="19"/>
      <c r="B62" s="22"/>
      <c r="C62" s="22" t="s">
        <v>93</v>
      </c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  <c r="O62" s="73"/>
    </row>
    <row r="63" spans="1:15" ht="14.25">
      <c r="A63" s="19">
        <v>2</v>
      </c>
      <c r="B63" s="22" t="s">
        <v>35</v>
      </c>
      <c r="C63" s="22"/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  <c r="O63" s="73"/>
    </row>
    <row r="64" spans="1:15" ht="14.25">
      <c r="A64" s="19"/>
      <c r="B64" s="22"/>
      <c r="C64" s="22" t="s">
        <v>108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  <c r="O64" s="73"/>
    </row>
    <row r="65" spans="1:14" ht="14.25">
      <c r="A65" s="19"/>
      <c r="B65" s="22"/>
      <c r="C65" s="22" t="s">
        <v>33</v>
      </c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3" ht="14.25">
      <c r="A66" s="19">
        <v>3</v>
      </c>
      <c r="B66" s="22" t="s">
        <v>85</v>
      </c>
      <c r="C66" s="22"/>
      <c r="D66" s="22"/>
      <c r="E66" s="22"/>
      <c r="F66" s="22"/>
      <c r="G66" s="22"/>
      <c r="H66" s="22"/>
      <c r="I66" s="22"/>
      <c r="J66" s="22"/>
      <c r="K66" s="22"/>
      <c r="L66" s="73"/>
      <c r="M66" s="73"/>
    </row>
    <row r="67" spans="2:13" ht="12.75">
      <c r="B67" s="22"/>
      <c r="C67" s="22" t="s">
        <v>86</v>
      </c>
      <c r="D67" s="22"/>
      <c r="E67" s="22"/>
      <c r="F67" s="22"/>
      <c r="G67" s="22"/>
      <c r="H67" s="22"/>
      <c r="I67" s="22"/>
      <c r="J67" s="22"/>
      <c r="K67" s="22"/>
      <c r="L67" s="73"/>
      <c r="M67" s="73"/>
    </row>
    <row r="68" spans="2:13" ht="12.75">
      <c r="B68" s="22"/>
      <c r="C68" s="22" t="s">
        <v>82</v>
      </c>
      <c r="D68" s="22"/>
      <c r="E68" s="22"/>
      <c r="F68" s="22"/>
      <c r="G68" s="22"/>
      <c r="H68" s="22"/>
      <c r="I68" s="22"/>
      <c r="J68" s="22"/>
      <c r="K68" s="22"/>
      <c r="L68" s="73"/>
      <c r="M68" s="73"/>
    </row>
    <row r="69" spans="2:13" ht="12.75">
      <c r="B69" s="22"/>
      <c r="C69" s="22" t="s">
        <v>103</v>
      </c>
      <c r="D69" s="22"/>
      <c r="E69" s="22"/>
      <c r="F69" s="126">
        <v>800</v>
      </c>
      <c r="G69" s="74" t="s">
        <v>83</v>
      </c>
      <c r="H69" s="22"/>
      <c r="I69" s="126">
        <v>900</v>
      </c>
      <c r="J69" s="74" t="s">
        <v>84</v>
      </c>
      <c r="K69" s="74"/>
      <c r="L69" s="127">
        <v>581</v>
      </c>
      <c r="M69" s="75" t="s">
        <v>5</v>
      </c>
    </row>
    <row r="70" spans="1:14" ht="14.25">
      <c r="A70" s="19">
        <v>4</v>
      </c>
      <c r="B70" s="22" t="s">
        <v>107</v>
      </c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1"/>
    </row>
    <row r="71" spans="1:14" ht="14.25">
      <c r="A71" s="19">
        <v>5</v>
      </c>
      <c r="B71" s="129" t="s">
        <v>118</v>
      </c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1"/>
    </row>
    <row r="72" spans="1:14" ht="14.25">
      <c r="A72" s="19">
        <v>6</v>
      </c>
      <c r="B72" s="22" t="s">
        <v>119</v>
      </c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1"/>
    </row>
    <row r="73" spans="1:14" ht="14.25">
      <c r="A73" s="19">
        <v>7</v>
      </c>
      <c r="B73" s="22" t="s">
        <v>120</v>
      </c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1"/>
    </row>
    <row r="74" spans="1:14" ht="14.25">
      <c r="A74" s="19">
        <v>8</v>
      </c>
      <c r="B74" s="22" t="s">
        <v>145</v>
      </c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35"/>
    </row>
    <row r="75" spans="1:14" ht="14.25">
      <c r="A75" s="19">
        <v>9</v>
      </c>
      <c r="B75" s="22" t="s">
        <v>121</v>
      </c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40"/>
    </row>
    <row r="76" spans="1:14" ht="14.25">
      <c r="A76" s="19"/>
      <c r="B76" s="1"/>
      <c r="C76" s="22" t="s">
        <v>122</v>
      </c>
      <c r="D76" s="1"/>
      <c r="E76" s="1"/>
      <c r="F76" s="1"/>
      <c r="G76" s="1"/>
      <c r="H76" s="1"/>
      <c r="I76" s="1"/>
      <c r="J76" s="1"/>
      <c r="K76" s="2"/>
      <c r="L76" s="2"/>
      <c r="M76" s="2"/>
      <c r="N76" s="40"/>
    </row>
    <row r="77" spans="1:14" ht="14.25">
      <c r="A77" s="19">
        <v>10</v>
      </c>
      <c r="B77" s="22" t="s">
        <v>123</v>
      </c>
      <c r="C77" s="22"/>
      <c r="D77" s="1"/>
      <c r="E77" s="1"/>
      <c r="F77" s="1"/>
      <c r="G77" s="1"/>
      <c r="H77" s="1"/>
      <c r="I77" s="1"/>
      <c r="J77" s="1"/>
      <c r="K77" s="2"/>
      <c r="L77" s="2"/>
      <c r="M77" s="2"/>
      <c r="N77" s="40"/>
    </row>
    <row r="78" spans="1:14" ht="14.25">
      <c r="A78" s="19">
        <v>11</v>
      </c>
      <c r="B78" s="22" t="s">
        <v>146</v>
      </c>
      <c r="C78" s="22"/>
      <c r="D78" s="1"/>
      <c r="E78" s="1"/>
      <c r="F78" s="1"/>
      <c r="G78" s="1"/>
      <c r="H78" s="1"/>
      <c r="I78" s="1"/>
      <c r="J78" s="1"/>
      <c r="K78" s="2"/>
      <c r="L78" s="2"/>
      <c r="M78" s="2"/>
      <c r="N78" s="40"/>
    </row>
    <row r="79" spans="1:14" ht="14.25">
      <c r="A79" s="19">
        <v>12</v>
      </c>
      <c r="B79" s="22" t="s">
        <v>125</v>
      </c>
      <c r="C79" s="22"/>
      <c r="D79" s="1"/>
      <c r="E79" s="1"/>
      <c r="F79" s="1"/>
      <c r="G79" s="1"/>
      <c r="H79" s="1"/>
      <c r="I79" s="1"/>
      <c r="J79" s="1"/>
      <c r="K79" s="2"/>
      <c r="L79" s="2"/>
      <c r="M79" s="2"/>
      <c r="N79" s="40"/>
    </row>
    <row r="80" spans="1:14" ht="14.25">
      <c r="A80" s="19">
        <v>13</v>
      </c>
      <c r="B80" s="22" t="s">
        <v>127</v>
      </c>
      <c r="C80" s="22"/>
      <c r="D80" s="1"/>
      <c r="E80" s="1"/>
      <c r="F80" s="1"/>
      <c r="G80" s="1"/>
      <c r="H80" s="1"/>
      <c r="I80" s="1"/>
      <c r="J80" s="1"/>
      <c r="K80" s="2"/>
      <c r="L80" s="2"/>
      <c r="M80" s="2"/>
      <c r="N80" s="40"/>
    </row>
    <row r="81" spans="1:14" ht="14.25">
      <c r="A81" s="19">
        <v>14</v>
      </c>
      <c r="B81" s="22" t="s">
        <v>151</v>
      </c>
      <c r="C81" s="22"/>
      <c r="D81" s="1"/>
      <c r="E81" s="1"/>
      <c r="F81" s="1"/>
      <c r="G81" s="1"/>
      <c r="H81" s="1"/>
      <c r="I81" s="1"/>
      <c r="J81" s="1"/>
      <c r="K81" s="2"/>
      <c r="L81" s="2"/>
      <c r="M81" s="2"/>
      <c r="N81" s="40"/>
    </row>
    <row r="82" spans="1:14" ht="14.25">
      <c r="A82" s="19"/>
      <c r="B82" s="22"/>
      <c r="C82" s="147" t="s">
        <v>148</v>
      </c>
      <c r="D82" s="1"/>
      <c r="E82" s="1"/>
      <c r="F82" s="1"/>
      <c r="G82" s="1"/>
      <c r="H82" s="1"/>
      <c r="I82" s="1"/>
      <c r="J82" s="1"/>
      <c r="K82" s="2"/>
      <c r="L82" s="2"/>
      <c r="M82" s="2"/>
      <c r="N82" s="40"/>
    </row>
    <row r="83" spans="3:14" ht="12.75">
      <c r="C83" s="146" t="s">
        <v>147</v>
      </c>
      <c r="K83" s="2"/>
      <c r="L83" s="2"/>
      <c r="M83" s="2"/>
      <c r="N83" s="40"/>
    </row>
    <row r="84" spans="1:14" ht="14.25">
      <c r="A84" s="19">
        <v>15</v>
      </c>
      <c r="B84" s="22" t="s">
        <v>128</v>
      </c>
      <c r="C84" s="22"/>
      <c r="D84" s="1"/>
      <c r="E84" s="1"/>
      <c r="F84" s="1"/>
      <c r="G84" s="1"/>
      <c r="H84" s="1"/>
      <c r="I84" s="1"/>
      <c r="J84" s="1"/>
      <c r="K84" s="2"/>
      <c r="L84" s="2"/>
      <c r="M84" s="2"/>
      <c r="N84" s="40"/>
    </row>
    <row r="85" spans="1:14" ht="14.25">
      <c r="A85" s="19">
        <v>16</v>
      </c>
      <c r="B85" s="22" t="s">
        <v>131</v>
      </c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40"/>
    </row>
    <row r="86" spans="1:14" ht="14.25">
      <c r="A86" s="19"/>
      <c r="B86" s="36"/>
      <c r="C86" s="22" t="s">
        <v>132</v>
      </c>
      <c r="D86" s="1"/>
      <c r="E86" s="1"/>
      <c r="F86" s="1"/>
      <c r="G86" s="1"/>
      <c r="H86" s="1"/>
      <c r="I86" s="1"/>
      <c r="J86" s="1"/>
      <c r="K86" s="2"/>
      <c r="L86" s="2"/>
      <c r="M86" s="2"/>
      <c r="N86" s="40"/>
    </row>
    <row r="87" spans="1:14" ht="12.75">
      <c r="A87" s="31"/>
      <c r="B87" s="31"/>
      <c r="C87" s="32"/>
      <c r="D87" s="31"/>
      <c r="E87" s="31"/>
      <c r="F87" s="31"/>
      <c r="G87" s="33" t="s">
        <v>40</v>
      </c>
      <c r="H87" s="31"/>
      <c r="I87" s="31"/>
      <c r="J87" s="31"/>
      <c r="K87" s="31"/>
      <c r="L87" s="34"/>
      <c r="M87" s="34"/>
      <c r="N87" s="40"/>
    </row>
    <row r="88" spans="1:14" ht="24">
      <c r="A88" s="36"/>
      <c r="B88" s="36"/>
      <c r="C88" s="36"/>
      <c r="D88" s="36"/>
      <c r="E88" s="37" t="s">
        <v>41</v>
      </c>
      <c r="F88" s="38" t="s">
        <v>42</v>
      </c>
      <c r="G88" s="37" t="s">
        <v>43</v>
      </c>
      <c r="H88" s="37"/>
      <c r="I88" s="39" t="s">
        <v>44</v>
      </c>
      <c r="J88" s="38" t="s">
        <v>45</v>
      </c>
      <c r="K88" s="38" t="s">
        <v>46</v>
      </c>
      <c r="L88" s="131" t="s">
        <v>133</v>
      </c>
      <c r="M88" s="38" t="s">
        <v>47</v>
      </c>
      <c r="N88" s="40"/>
    </row>
    <row r="89" spans="1:14" ht="12.75">
      <c r="A89" s="36"/>
      <c r="B89" s="110" t="s">
        <v>48</v>
      </c>
      <c r="C89" s="110"/>
      <c r="D89" s="110"/>
      <c r="E89" s="111">
        <v>1</v>
      </c>
      <c r="F89" s="112">
        <v>15800</v>
      </c>
      <c r="G89" s="113">
        <v>750</v>
      </c>
      <c r="H89" s="41"/>
      <c r="I89" s="107">
        <f>'machinery costs'!J2</f>
        <v>2.8617749999999997</v>
      </c>
      <c r="J89" s="122">
        <v>8.5</v>
      </c>
      <c r="K89" s="100">
        <f>0.6*E89</f>
        <v>0.6</v>
      </c>
      <c r="L89" s="136">
        <f>(G89*E89)/J89</f>
        <v>88.23529411764706</v>
      </c>
      <c r="M89" s="100">
        <f>E89*0.57</f>
        <v>0.57</v>
      </c>
      <c r="N89" s="40"/>
    </row>
    <row r="90" spans="1:14" ht="12.75">
      <c r="A90" s="36"/>
      <c r="B90" s="114" t="s">
        <v>49</v>
      </c>
      <c r="C90" s="114"/>
      <c r="D90" s="114"/>
      <c r="E90" s="115">
        <v>1</v>
      </c>
      <c r="F90" s="116">
        <v>29400</v>
      </c>
      <c r="G90" s="117">
        <v>750</v>
      </c>
      <c r="H90" s="42"/>
      <c r="I90" s="107">
        <f>'machinery costs'!J3</f>
        <v>5.325075</v>
      </c>
      <c r="J90" s="123">
        <v>16.59</v>
      </c>
      <c r="K90" s="101">
        <f>0.32*E90</f>
        <v>0.32</v>
      </c>
      <c r="L90" s="137">
        <f aca="true" t="shared" si="0" ref="L90:L96">(G90*E90)/J90</f>
        <v>45.20795660036166</v>
      </c>
      <c r="M90" s="101">
        <f>0.57*E90</f>
        <v>0.57</v>
      </c>
      <c r="N90" s="40"/>
    </row>
    <row r="91" spans="1:14" ht="12.75">
      <c r="A91" s="36"/>
      <c r="B91" s="114" t="s">
        <v>50</v>
      </c>
      <c r="C91" s="114"/>
      <c r="D91" s="114"/>
      <c r="E91" s="115">
        <v>2</v>
      </c>
      <c r="F91" s="116">
        <v>18900</v>
      </c>
      <c r="G91" s="117">
        <v>1500</v>
      </c>
      <c r="H91" s="42"/>
      <c r="I91" s="107">
        <f>'machinery costs'!J4</f>
        <v>1.7116312500000002</v>
      </c>
      <c r="J91" s="123">
        <v>25.61</v>
      </c>
      <c r="K91" s="101">
        <f>0.1*E91</f>
        <v>0.2</v>
      </c>
      <c r="L91" s="137">
        <f t="shared" si="0"/>
        <v>117.14174150722374</v>
      </c>
      <c r="M91" s="101">
        <f>0.36*E91</f>
        <v>0.72</v>
      </c>
      <c r="N91" s="40"/>
    </row>
    <row r="92" spans="1:14" ht="12.75">
      <c r="A92" s="36"/>
      <c r="B92" s="114" t="s">
        <v>51</v>
      </c>
      <c r="C92" s="114"/>
      <c r="D92" s="114"/>
      <c r="E92" s="115">
        <v>1</v>
      </c>
      <c r="F92" s="116">
        <v>28400</v>
      </c>
      <c r="G92" s="117">
        <v>750</v>
      </c>
      <c r="H92" s="42"/>
      <c r="I92" s="107">
        <f>'machinery costs'!J5</f>
        <v>4.794866666666667</v>
      </c>
      <c r="J92" s="123">
        <v>9.33</v>
      </c>
      <c r="K92" s="101">
        <f>0.34*E92</f>
        <v>0.34</v>
      </c>
      <c r="L92" s="137">
        <f t="shared" si="0"/>
        <v>80.38585209003216</v>
      </c>
      <c r="M92" s="101">
        <f>0.99*E92</f>
        <v>0.99</v>
      </c>
      <c r="N92" s="40"/>
    </row>
    <row r="93" spans="1:14" ht="12.75">
      <c r="A93" s="36"/>
      <c r="B93" s="114" t="s">
        <v>52</v>
      </c>
      <c r="C93" s="114"/>
      <c r="D93" s="114"/>
      <c r="E93" s="115">
        <v>1</v>
      </c>
      <c r="F93" s="116">
        <v>207000</v>
      </c>
      <c r="G93" s="117">
        <v>1500</v>
      </c>
      <c r="H93" s="42"/>
      <c r="I93" s="107">
        <f>'machinery costs'!J6</f>
        <v>19.382531249999996</v>
      </c>
      <c r="J93" s="43" t="s">
        <v>53</v>
      </c>
      <c r="K93" s="104" t="s">
        <v>53</v>
      </c>
      <c r="L93" s="138">
        <f>L94</f>
        <v>147.34774066797644</v>
      </c>
      <c r="M93" s="102">
        <f>(L93*34.53)/750</f>
        <v>6.783889980353636</v>
      </c>
      <c r="N93" s="40"/>
    </row>
    <row r="94" spans="1:14" ht="12.75">
      <c r="A94" s="36"/>
      <c r="B94" s="114"/>
      <c r="C94" s="114" t="s">
        <v>54</v>
      </c>
      <c r="D94" s="114"/>
      <c r="E94" s="115">
        <v>1</v>
      </c>
      <c r="F94" s="116">
        <v>45200</v>
      </c>
      <c r="G94" s="117">
        <v>750</v>
      </c>
      <c r="H94" s="42"/>
      <c r="I94" s="107">
        <f>'machinery costs'!J7</f>
        <v>8.464641666666667</v>
      </c>
      <c r="J94" s="124">
        <v>5.09</v>
      </c>
      <c r="K94" s="101">
        <f>2.41*E94</f>
        <v>2.41</v>
      </c>
      <c r="L94" s="137">
        <f t="shared" si="0"/>
        <v>147.34774066797644</v>
      </c>
      <c r="M94" s="102">
        <f>1.03*E94</f>
        <v>1.03</v>
      </c>
      <c r="N94" s="40"/>
    </row>
    <row r="95" spans="1:14" ht="12.75">
      <c r="A95" s="36"/>
      <c r="B95" s="114" t="s">
        <v>55</v>
      </c>
      <c r="C95" s="114"/>
      <c r="D95" s="114"/>
      <c r="E95" s="115">
        <v>1</v>
      </c>
      <c r="F95" s="116">
        <v>9920</v>
      </c>
      <c r="G95" s="117">
        <v>750</v>
      </c>
      <c r="H95" s="42"/>
      <c r="I95" s="107">
        <f>'machinery costs'!J8</f>
        <v>1.79676</v>
      </c>
      <c r="J95" s="124">
        <v>11.2</v>
      </c>
      <c r="K95" s="101">
        <f>0.66*E95</f>
        <v>0.66</v>
      </c>
      <c r="L95" s="137">
        <f t="shared" si="0"/>
        <v>66.96428571428572</v>
      </c>
      <c r="M95" s="102">
        <f>0.21*E95</f>
        <v>0.21</v>
      </c>
      <c r="N95" s="40"/>
    </row>
    <row r="96" spans="1:14" ht="12.75">
      <c r="A96" s="36"/>
      <c r="B96" s="114" t="s">
        <v>56</v>
      </c>
      <c r="C96" s="114"/>
      <c r="D96" s="114"/>
      <c r="E96" s="115">
        <v>1</v>
      </c>
      <c r="F96" s="116">
        <v>11550</v>
      </c>
      <c r="G96" s="117">
        <v>1500</v>
      </c>
      <c r="H96" s="42"/>
      <c r="I96" s="107">
        <f>'machinery costs'!J9</f>
        <v>1.045996875</v>
      </c>
      <c r="J96" s="124">
        <v>25.6</v>
      </c>
      <c r="K96" s="101">
        <f>0.12*E96</f>
        <v>0.12</v>
      </c>
      <c r="L96" s="137">
        <f t="shared" si="0"/>
        <v>58.59375</v>
      </c>
      <c r="M96" s="102">
        <f>0.24*E96</f>
        <v>0.24</v>
      </c>
      <c r="N96" s="40"/>
    </row>
    <row r="97" spans="1:14" ht="12.75">
      <c r="A97" s="36"/>
      <c r="B97" s="114" t="s">
        <v>57</v>
      </c>
      <c r="C97" s="114"/>
      <c r="D97" s="114"/>
      <c r="E97" s="115">
        <v>1</v>
      </c>
      <c r="F97" s="116">
        <v>31500</v>
      </c>
      <c r="G97" s="117">
        <v>1500</v>
      </c>
      <c r="H97" s="42"/>
      <c r="I97" s="107">
        <f>'machinery costs'!J10</f>
        <v>2.814</v>
      </c>
      <c r="J97" s="43" t="s">
        <v>53</v>
      </c>
      <c r="K97" s="104" t="s">
        <v>53</v>
      </c>
      <c r="L97" s="132" t="s">
        <v>53</v>
      </c>
      <c r="M97" s="102">
        <f>1.75*E97</f>
        <v>1.75</v>
      </c>
      <c r="N97" s="40"/>
    </row>
    <row r="98" spans="1:14" ht="12.75">
      <c r="A98" s="36"/>
      <c r="B98" s="114" t="s">
        <v>58</v>
      </c>
      <c r="C98" s="114"/>
      <c r="D98" s="114"/>
      <c r="E98" s="115">
        <v>5</v>
      </c>
      <c r="F98" s="116">
        <v>142000</v>
      </c>
      <c r="G98" s="117">
        <v>1500</v>
      </c>
      <c r="H98" s="42"/>
      <c r="I98" s="107">
        <f>'machinery costs'!J11</f>
        <v>12.685333333333336</v>
      </c>
      <c r="J98" s="44" t="s">
        <v>53</v>
      </c>
      <c r="K98" s="105" t="s">
        <v>53</v>
      </c>
      <c r="L98" s="138">
        <f>L89+L90+L92+L95+L96</f>
        <v>339.3871385223266</v>
      </c>
      <c r="M98" s="102">
        <f>(L98*4.73)/750</f>
        <v>2.14040155361414</v>
      </c>
      <c r="N98" s="40"/>
    </row>
    <row r="99" spans="1:14" ht="12.75">
      <c r="A99" s="36"/>
      <c r="B99" s="114" t="s">
        <v>59</v>
      </c>
      <c r="C99" s="114"/>
      <c r="D99" s="114"/>
      <c r="E99" s="115">
        <v>2</v>
      </c>
      <c r="F99" s="116">
        <v>32000</v>
      </c>
      <c r="G99" s="117">
        <v>1500</v>
      </c>
      <c r="H99" s="42"/>
      <c r="I99" s="107">
        <f>'machinery costs'!J12</f>
        <v>2.7603333333333326</v>
      </c>
      <c r="J99" s="45" t="s">
        <v>53</v>
      </c>
      <c r="K99" s="105" t="s">
        <v>53</v>
      </c>
      <c r="L99" s="138">
        <f>L91</f>
        <v>117.14174150722374</v>
      </c>
      <c r="M99" s="102">
        <f>(L99*1.13)/750</f>
        <v>0.17649355720421708</v>
      </c>
      <c r="N99" s="40"/>
    </row>
    <row r="100" spans="1:14" ht="12.75">
      <c r="A100" s="36"/>
      <c r="B100" s="118" t="s">
        <v>60</v>
      </c>
      <c r="C100" s="118"/>
      <c r="D100" s="118"/>
      <c r="E100" s="119">
        <v>1</v>
      </c>
      <c r="F100" s="120">
        <v>16000</v>
      </c>
      <c r="G100" s="121">
        <v>1500</v>
      </c>
      <c r="H100" s="46"/>
      <c r="I100" s="135">
        <f>'machinery costs'!J13</f>
        <v>1.4293333333333331</v>
      </c>
      <c r="J100" s="47" t="s">
        <v>53</v>
      </c>
      <c r="K100" s="106">
        <f>0.21*E100</f>
        <v>0.21</v>
      </c>
      <c r="L100" s="133" t="s">
        <v>53</v>
      </c>
      <c r="M100" s="103">
        <f>0.053*E100</f>
        <v>0.053</v>
      </c>
      <c r="N100" s="40"/>
    </row>
    <row r="101" spans="1:14" ht="12.75">
      <c r="A101" s="36"/>
      <c r="C101" s="36"/>
      <c r="D101" s="36"/>
      <c r="E101" s="48"/>
      <c r="F101" s="49"/>
      <c r="G101" s="49"/>
      <c r="H101" s="49"/>
      <c r="I101" s="50"/>
      <c r="J101" s="51" t="s">
        <v>61</v>
      </c>
      <c r="K101" s="109">
        <f>SUM(K89:K99)*M104+(K100*M104*1.2)</f>
        <v>17.157000000000004</v>
      </c>
      <c r="M101" s="52"/>
      <c r="N101" s="40"/>
    </row>
    <row r="102" spans="1:14" ht="12.75">
      <c r="A102" s="36"/>
      <c r="B102" s="53" t="s">
        <v>62</v>
      </c>
      <c r="C102" s="53"/>
      <c r="D102" s="53"/>
      <c r="E102" s="53"/>
      <c r="F102" s="54"/>
      <c r="G102" s="54"/>
      <c r="H102" s="54"/>
      <c r="I102" s="108">
        <f>SUM(I89:I100)</f>
        <v>65.07227770833333</v>
      </c>
      <c r="J102" s="51" t="s">
        <v>63</v>
      </c>
      <c r="K102" s="109">
        <f>(K101*0.1)+K101</f>
        <v>18.872700000000005</v>
      </c>
      <c r="L102" s="55" t="s">
        <v>6</v>
      </c>
      <c r="M102" s="109">
        <f>SUM(M89:M100)</f>
        <v>15.233785091171995</v>
      </c>
      <c r="N102" s="40"/>
    </row>
    <row r="103" spans="1:14" ht="12.75">
      <c r="A103" s="36"/>
      <c r="B103" s="53"/>
      <c r="C103" s="36"/>
      <c r="D103" s="36"/>
      <c r="E103" s="36"/>
      <c r="F103" s="56"/>
      <c r="G103" s="57"/>
      <c r="H103" s="57"/>
      <c r="I103" s="139"/>
      <c r="J103" s="53"/>
      <c r="K103" s="134"/>
      <c r="L103" s="134"/>
      <c r="M103" s="59"/>
      <c r="N103" s="40"/>
    </row>
    <row r="104" spans="1:14" ht="12.75">
      <c r="A104" s="36"/>
      <c r="B104" s="36"/>
      <c r="C104" s="53"/>
      <c r="D104" s="53"/>
      <c r="E104" s="53"/>
      <c r="F104" s="60"/>
      <c r="G104" s="60"/>
      <c r="H104" s="60"/>
      <c r="I104" s="60"/>
      <c r="J104" s="158" t="s">
        <v>64</v>
      </c>
      <c r="K104" s="158"/>
      <c r="L104" s="158"/>
      <c r="M104" s="125">
        <v>3.5</v>
      </c>
      <c r="N104" s="40"/>
    </row>
    <row r="105" spans="1:14" ht="12.75">
      <c r="A105" s="22" t="s">
        <v>65</v>
      </c>
      <c r="B105" s="148"/>
      <c r="C105" s="148"/>
      <c r="D105" s="53"/>
      <c r="E105" s="53"/>
      <c r="F105" s="60"/>
      <c r="G105" s="60"/>
      <c r="H105" s="60"/>
      <c r="I105" s="58"/>
      <c r="J105" s="53"/>
      <c r="K105" s="59"/>
      <c r="L105" s="59"/>
      <c r="M105" s="59"/>
      <c r="N105" s="40"/>
    </row>
    <row r="106" spans="1:14" ht="12.75">
      <c r="A106" s="22" t="s">
        <v>150</v>
      </c>
      <c r="B106" s="148"/>
      <c r="C106" s="148"/>
      <c r="D106" s="53"/>
      <c r="E106" s="53"/>
      <c r="F106" s="60"/>
      <c r="G106" s="60"/>
      <c r="H106" s="60"/>
      <c r="I106" s="58"/>
      <c r="J106" s="53"/>
      <c r="K106" s="59"/>
      <c r="L106" s="59"/>
      <c r="M106" s="59"/>
      <c r="N106" s="40"/>
    </row>
    <row r="107" spans="1:14" ht="12.75">
      <c r="A107" s="149" t="s">
        <v>149</v>
      </c>
      <c r="B107" s="148"/>
      <c r="C107" s="148"/>
      <c r="D107" s="53"/>
      <c r="E107" s="53"/>
      <c r="F107" s="60"/>
      <c r="G107" s="60"/>
      <c r="H107" s="60"/>
      <c r="I107" s="58"/>
      <c r="J107" s="53"/>
      <c r="K107" s="59"/>
      <c r="L107" s="59"/>
      <c r="M107" s="59"/>
      <c r="N107" s="40"/>
    </row>
    <row r="108" spans="1:14" ht="12.75">
      <c r="A108" s="22" t="s">
        <v>66</v>
      </c>
      <c r="B108" s="22"/>
      <c r="C108" s="22"/>
      <c r="D108" s="36"/>
      <c r="E108" s="36"/>
      <c r="F108" s="61"/>
      <c r="G108" s="61"/>
      <c r="H108" s="61"/>
      <c r="I108" s="58"/>
      <c r="J108" s="36"/>
      <c r="K108" s="40"/>
      <c r="L108" s="40"/>
      <c r="M108" s="40"/>
      <c r="N108" s="40"/>
    </row>
    <row r="109" spans="1:14" ht="12.75">
      <c r="A109" s="22" t="s">
        <v>67</v>
      </c>
      <c r="B109" s="22"/>
      <c r="C109" s="22"/>
      <c r="D109" s="36"/>
      <c r="E109" s="36"/>
      <c r="F109" s="36"/>
      <c r="G109" s="36"/>
      <c r="H109" s="36"/>
      <c r="I109" s="36"/>
      <c r="J109" s="36"/>
      <c r="K109" s="36"/>
      <c r="L109" s="62"/>
      <c r="M109" s="40"/>
      <c r="N109" s="40"/>
    </row>
    <row r="110" spans="1:14" ht="12.75">
      <c r="A110" s="22" t="s">
        <v>68</v>
      </c>
      <c r="B110" s="22"/>
      <c r="C110" s="22"/>
      <c r="D110" s="36"/>
      <c r="E110" s="63"/>
      <c r="F110" s="63"/>
      <c r="G110" s="63"/>
      <c r="H110" s="63"/>
      <c r="I110" s="63"/>
      <c r="J110" s="36"/>
      <c r="K110" s="36"/>
      <c r="L110" s="40"/>
      <c r="M110" s="40"/>
      <c r="N110" s="40"/>
    </row>
    <row r="111" spans="1:14" ht="12.75">
      <c r="A111" s="150" t="s">
        <v>69</v>
      </c>
      <c r="B111" s="22"/>
      <c r="C111" s="151"/>
      <c r="D111" s="36"/>
      <c r="E111" s="63"/>
      <c r="F111" s="63"/>
      <c r="G111" s="63"/>
      <c r="H111" s="63"/>
      <c r="I111" s="63"/>
      <c r="J111" s="36"/>
      <c r="K111" s="36"/>
      <c r="L111" s="40"/>
      <c r="M111" s="40"/>
      <c r="N111" s="40"/>
    </row>
    <row r="112" spans="1:14" ht="12.75">
      <c r="A112" s="22" t="s">
        <v>70</v>
      </c>
      <c r="B112" s="22"/>
      <c r="C112" s="22"/>
      <c r="D112" s="36"/>
      <c r="E112" s="36"/>
      <c r="F112" s="36"/>
      <c r="G112" s="36"/>
      <c r="H112" s="36"/>
      <c r="I112" s="36"/>
      <c r="J112" s="36"/>
      <c r="K112" s="36"/>
      <c r="L112" s="40"/>
      <c r="M112" s="40"/>
      <c r="N112" s="40"/>
    </row>
    <row r="113" spans="1:13" ht="12.75">
      <c r="A113" s="22" t="s">
        <v>71</v>
      </c>
      <c r="B113" s="22"/>
      <c r="C113" s="22"/>
      <c r="D113" s="36"/>
      <c r="E113" s="36"/>
      <c r="F113" s="36"/>
      <c r="G113" s="36"/>
      <c r="H113" s="36"/>
      <c r="I113" s="36"/>
      <c r="J113" s="36"/>
      <c r="K113" s="36"/>
      <c r="L113" s="40"/>
      <c r="M113" s="40"/>
    </row>
    <row r="114" spans="1:13" ht="12.75">
      <c r="A114" s="22" t="s">
        <v>72</v>
      </c>
      <c r="B114" s="22"/>
      <c r="C114" s="22"/>
      <c r="D114" s="36"/>
      <c r="E114" s="36"/>
      <c r="F114" s="36"/>
      <c r="G114" s="36"/>
      <c r="H114" s="36"/>
      <c r="I114" s="36"/>
      <c r="J114" s="36"/>
      <c r="K114" s="36"/>
      <c r="L114" s="40"/>
      <c r="M114" s="40"/>
    </row>
    <row r="115" spans="1:13" ht="12.75">
      <c r="A115" s="22" t="s">
        <v>73</v>
      </c>
      <c r="B115" s="22"/>
      <c r="C115" s="22"/>
      <c r="D115" s="36"/>
      <c r="E115" s="36"/>
      <c r="F115" s="36"/>
      <c r="G115" s="36"/>
      <c r="H115" s="36"/>
      <c r="I115" s="36"/>
      <c r="J115" s="36"/>
      <c r="K115" s="36"/>
      <c r="L115" s="40"/>
      <c r="M115" s="40"/>
    </row>
  </sheetData>
  <mergeCells count="12">
    <mergeCell ref="J104:L104"/>
    <mergeCell ref="E16:H16"/>
    <mergeCell ref="E13:H13"/>
    <mergeCell ref="I8:J8"/>
    <mergeCell ref="F7:G7"/>
    <mergeCell ref="K7:M7"/>
    <mergeCell ref="D1:M1"/>
    <mergeCell ref="D2:M2"/>
    <mergeCell ref="D3:M3"/>
    <mergeCell ref="I7:J7"/>
    <mergeCell ref="D4:M4"/>
    <mergeCell ref="D5:M5"/>
  </mergeCells>
  <hyperlinks>
    <hyperlink ref="C82" r:id="rId1" display="http://aede.osu.edu/resources/docs/pdf/UDSIO6SG-9315-IQAW-X7QLG33KLHMNAZZ6.pdf"/>
  </hyperlinks>
  <printOptions horizontalCentered="1"/>
  <pageMargins left="0.5" right="0.5" top="0.5" bottom="0.5" header="0.5" footer="0.5"/>
  <pageSetup fitToHeight="2" fitToWidth="1" horizontalDpi="300" verticalDpi="300" orientation="portrait" scale="89" r:id="rId3"/>
  <ignoredErrors>
    <ignoredError sqref="N18 L9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21" sqref="I21:J2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13.8515625" style="0" customWidth="1"/>
    <col min="4" max="4" width="13.00390625" style="0" customWidth="1"/>
    <col min="5" max="5" width="11.8515625" style="0" customWidth="1"/>
    <col min="6" max="6" width="10.7109375" style="0" customWidth="1"/>
    <col min="7" max="7" width="11.28125" style="0" customWidth="1"/>
    <col min="9" max="9" width="9.00390625" style="0" customWidth="1"/>
  </cols>
  <sheetData>
    <row r="1" spans="1:10" ht="25.5">
      <c r="A1" s="98" t="s">
        <v>95</v>
      </c>
      <c r="B1" s="98"/>
      <c r="C1" s="98" t="s">
        <v>96</v>
      </c>
      <c r="D1" s="98" t="s">
        <v>97</v>
      </c>
      <c r="E1" s="98" t="s">
        <v>98</v>
      </c>
      <c r="F1" s="98" t="s">
        <v>94</v>
      </c>
      <c r="G1" s="98" t="s">
        <v>99</v>
      </c>
      <c r="H1" s="98" t="s">
        <v>100</v>
      </c>
      <c r="I1" s="140" t="s">
        <v>134</v>
      </c>
      <c r="J1" s="98" t="s">
        <v>101</v>
      </c>
    </row>
    <row r="2" spans="1:10" ht="12.75">
      <c r="A2" s="110" t="s">
        <v>48</v>
      </c>
      <c r="B2" s="110"/>
      <c r="C2" s="99">
        <f>(popcorn!F89+(popcorn!F89*0.34)+D2)/2</f>
        <v>11237.75</v>
      </c>
      <c r="D2" s="99">
        <f>(popcorn!F89-(popcorn!F89*0.34))/8</f>
        <v>1303.5</v>
      </c>
      <c r="E2" s="99">
        <f>0.06*C2</f>
        <v>674.265</v>
      </c>
      <c r="F2" s="99">
        <f>0.005*C2</f>
        <v>56.18875</v>
      </c>
      <c r="G2" s="90">
        <f>0.01*C2</f>
        <v>112.3775</v>
      </c>
      <c r="H2" s="91">
        <f>SUM(D2:G2)</f>
        <v>2146.3312499999997</v>
      </c>
      <c r="I2" s="141">
        <f>popcorn!G89</f>
        <v>750</v>
      </c>
      <c r="J2" s="99">
        <f>H2/I2</f>
        <v>2.8617749999999997</v>
      </c>
    </row>
    <row r="3" spans="1:10" ht="12.75">
      <c r="A3" s="128" t="s">
        <v>49</v>
      </c>
      <c r="B3" s="128"/>
      <c r="C3" s="96">
        <f>(popcorn!F90+(popcorn!F90*0.34)+D3)/2</f>
        <v>20910.75</v>
      </c>
      <c r="D3" s="96">
        <f>(popcorn!F90-(popcorn!F90*0.34))/8</f>
        <v>2425.5</v>
      </c>
      <c r="E3" s="96">
        <f aca="true" t="shared" si="0" ref="E3:E13">0.06*C3</f>
        <v>1254.645</v>
      </c>
      <c r="F3" s="96">
        <f aca="true" t="shared" si="1" ref="F3:F13">0.005*C3</f>
        <v>104.55375000000001</v>
      </c>
      <c r="G3" s="92">
        <f aca="true" t="shared" si="2" ref="G3:G13">0.01*C3</f>
        <v>209.10750000000002</v>
      </c>
      <c r="H3" s="93">
        <f aca="true" t="shared" si="3" ref="H3:H13">SUM(D3:G3)</f>
        <v>3993.80625</v>
      </c>
      <c r="I3" s="142">
        <f>popcorn!G90</f>
        <v>750</v>
      </c>
      <c r="J3" s="96">
        <f aca="true" t="shared" si="4" ref="J3:J13">H3/I3</f>
        <v>5.325075</v>
      </c>
    </row>
    <row r="4" spans="1:10" ht="12.75">
      <c r="A4" s="128" t="s">
        <v>50</v>
      </c>
      <c r="B4" s="128"/>
      <c r="C4" s="96">
        <f>(popcorn!F91+(popcorn!F91*0.34)+D4)/2</f>
        <v>13442.625</v>
      </c>
      <c r="D4" s="96">
        <f>(popcorn!F91-(popcorn!F91*0.34))/8</f>
        <v>1559.25</v>
      </c>
      <c r="E4" s="96">
        <f t="shared" si="0"/>
        <v>806.5575</v>
      </c>
      <c r="F4" s="96">
        <f t="shared" si="1"/>
        <v>67.213125</v>
      </c>
      <c r="G4" s="92">
        <f t="shared" si="2"/>
        <v>134.42625</v>
      </c>
      <c r="H4" s="93">
        <f t="shared" si="3"/>
        <v>2567.446875</v>
      </c>
      <c r="I4" s="142">
        <f>popcorn!G91</f>
        <v>1500</v>
      </c>
      <c r="J4" s="96">
        <f t="shared" si="4"/>
        <v>1.7116312500000002</v>
      </c>
    </row>
    <row r="5" spans="1:10" ht="12.75">
      <c r="A5" s="128" t="s">
        <v>51</v>
      </c>
      <c r="B5" s="128"/>
      <c r="C5" s="96">
        <f>(popcorn!F92+(popcorn!F92*0.44)+D5)/2</f>
        <v>21442</v>
      </c>
      <c r="D5" s="96">
        <f>(popcorn!F92-(popcorn!F92*0.44))/8</f>
        <v>1988</v>
      </c>
      <c r="E5" s="96">
        <f t="shared" si="0"/>
        <v>1286.52</v>
      </c>
      <c r="F5" s="96">
        <f t="shared" si="1"/>
        <v>107.21000000000001</v>
      </c>
      <c r="G5" s="92">
        <f t="shared" si="2"/>
        <v>214.42000000000002</v>
      </c>
      <c r="H5" s="93">
        <f t="shared" si="3"/>
        <v>3596.15</v>
      </c>
      <c r="I5" s="142">
        <f>popcorn!G92</f>
        <v>750</v>
      </c>
      <c r="J5" s="96">
        <f t="shared" si="4"/>
        <v>4.794866666666667</v>
      </c>
    </row>
    <row r="6" spans="1:10" ht="12.75">
      <c r="A6" s="128" t="s">
        <v>52</v>
      </c>
      <c r="B6" s="128"/>
      <c r="C6" s="96">
        <f>(popcorn!F93+(popcorn!F93*0.29)+D6)/2</f>
        <v>142700.625</v>
      </c>
      <c r="D6" s="96">
        <f>(popcorn!F93-(popcorn!F93*0.29))/8</f>
        <v>18371.25</v>
      </c>
      <c r="E6" s="96">
        <f t="shared" si="0"/>
        <v>8562.0375</v>
      </c>
      <c r="F6" s="96">
        <f t="shared" si="1"/>
        <v>713.5031250000001</v>
      </c>
      <c r="G6" s="92">
        <f t="shared" si="2"/>
        <v>1427.0062500000001</v>
      </c>
      <c r="H6" s="93">
        <f t="shared" si="3"/>
        <v>29073.796874999996</v>
      </c>
      <c r="I6" s="142">
        <f>popcorn!G93</f>
        <v>1500</v>
      </c>
      <c r="J6" s="96">
        <f t="shared" si="4"/>
        <v>19.382531249999996</v>
      </c>
    </row>
    <row r="7" spans="1:10" ht="12.75">
      <c r="A7" s="128"/>
      <c r="B7" s="128" t="s">
        <v>54</v>
      </c>
      <c r="C7" s="96">
        <f>(popcorn!F94+(popcorn!F94*0.29)+D7)/2</f>
        <v>31159.75</v>
      </c>
      <c r="D7" s="96">
        <f>(popcorn!F94-(popcorn!F94*0.29))/8</f>
        <v>4011.5</v>
      </c>
      <c r="E7" s="96">
        <f t="shared" si="0"/>
        <v>1869.585</v>
      </c>
      <c r="F7" s="96">
        <f t="shared" si="1"/>
        <v>155.79875</v>
      </c>
      <c r="G7" s="92">
        <f t="shared" si="2"/>
        <v>311.5975</v>
      </c>
      <c r="H7" s="93">
        <f t="shared" si="3"/>
        <v>6348.48125</v>
      </c>
      <c r="I7" s="142">
        <f>popcorn!G94</f>
        <v>750</v>
      </c>
      <c r="J7" s="96">
        <f t="shared" si="4"/>
        <v>8.464641666666667</v>
      </c>
    </row>
    <row r="8" spans="1:10" ht="12.75">
      <c r="A8" s="128" t="s">
        <v>102</v>
      </c>
      <c r="B8" s="128"/>
      <c r="C8" s="96">
        <f>(popcorn!F95+(popcorn!F95*0.34)+D8)/2</f>
        <v>7055.599999999999</v>
      </c>
      <c r="D8" s="96">
        <f>(popcorn!F95-(popcorn!F95*0.34))/8</f>
        <v>818.4</v>
      </c>
      <c r="E8" s="96">
        <f t="shared" si="0"/>
        <v>423.33599999999996</v>
      </c>
      <c r="F8" s="96">
        <f t="shared" si="1"/>
        <v>35.278</v>
      </c>
      <c r="G8" s="92">
        <f t="shared" si="2"/>
        <v>70.556</v>
      </c>
      <c r="H8" s="93">
        <f t="shared" si="3"/>
        <v>1347.57</v>
      </c>
      <c r="I8" s="142">
        <f>popcorn!G95</f>
        <v>750</v>
      </c>
      <c r="J8" s="96">
        <f t="shared" si="4"/>
        <v>1.79676</v>
      </c>
    </row>
    <row r="9" spans="1:10" ht="12.75">
      <c r="A9" s="128" t="s">
        <v>56</v>
      </c>
      <c r="B9" s="128"/>
      <c r="C9" s="96">
        <f>(popcorn!F96+(popcorn!F96*0.34)+D9)/2</f>
        <v>8214.9375</v>
      </c>
      <c r="D9" s="96">
        <f>(popcorn!F96-(popcorn!F96*0.34))/8</f>
        <v>952.875</v>
      </c>
      <c r="E9" s="96">
        <f t="shared" si="0"/>
        <v>492.89625</v>
      </c>
      <c r="F9" s="96">
        <f t="shared" si="1"/>
        <v>41.0746875</v>
      </c>
      <c r="G9" s="92">
        <f t="shared" si="2"/>
        <v>82.149375</v>
      </c>
      <c r="H9" s="93">
        <f t="shared" si="3"/>
        <v>1568.9953125</v>
      </c>
      <c r="I9" s="142">
        <f>popcorn!G96</f>
        <v>1500</v>
      </c>
      <c r="J9" s="96">
        <f t="shared" si="4"/>
        <v>1.045996875</v>
      </c>
    </row>
    <row r="10" spans="1:10" ht="12.75">
      <c r="A10" s="128" t="s">
        <v>57</v>
      </c>
      <c r="B10" s="128"/>
      <c r="C10" s="96">
        <f>(popcorn!F97+(popcorn!F97*0.36)+D10)/2</f>
        <v>22680</v>
      </c>
      <c r="D10" s="96">
        <f>(popcorn!F97-(popcorn!F97*0.36))/8</f>
        <v>2520</v>
      </c>
      <c r="E10" s="96">
        <f t="shared" si="0"/>
        <v>1360.8</v>
      </c>
      <c r="F10" s="96">
        <f t="shared" si="1"/>
        <v>113.4</v>
      </c>
      <c r="G10" s="92">
        <f t="shared" si="2"/>
        <v>226.8</v>
      </c>
      <c r="H10" s="93">
        <f t="shared" si="3"/>
        <v>4221</v>
      </c>
      <c r="I10" s="142">
        <f>popcorn!G97</f>
        <v>1500</v>
      </c>
      <c r="J10" s="96">
        <f t="shared" si="4"/>
        <v>2.814</v>
      </c>
    </row>
    <row r="11" spans="1:10" ht="12.75">
      <c r="A11" s="128" t="s">
        <v>58</v>
      </c>
      <c r="B11" s="128"/>
      <c r="C11" s="96">
        <f>(popcorn!F98+(popcorn!F98*0.36)+D11)/2</f>
        <v>102240</v>
      </c>
      <c r="D11" s="96">
        <f>(popcorn!F98-(popcorn!F98*0.36))/8</f>
        <v>11360</v>
      </c>
      <c r="E11" s="96">
        <f t="shared" si="0"/>
        <v>6134.4</v>
      </c>
      <c r="F11" s="96">
        <f t="shared" si="1"/>
        <v>511.2</v>
      </c>
      <c r="G11" s="92">
        <f t="shared" si="2"/>
        <v>1022.4</v>
      </c>
      <c r="H11" s="93">
        <f t="shared" si="3"/>
        <v>19028.000000000004</v>
      </c>
      <c r="I11" s="142">
        <f>popcorn!G98</f>
        <v>1500</v>
      </c>
      <c r="J11" s="96">
        <f t="shared" si="4"/>
        <v>12.685333333333336</v>
      </c>
    </row>
    <row r="12" spans="1:10" ht="12.75">
      <c r="A12" s="128" t="s">
        <v>59</v>
      </c>
      <c r="B12" s="128"/>
      <c r="C12" s="96">
        <f>(popcorn!F99+(popcorn!F99*0.41)+D12)/2</f>
        <v>23740</v>
      </c>
      <c r="D12" s="96">
        <f>(popcorn!F99-(popcorn!F99*0.41))/8</f>
        <v>2360</v>
      </c>
      <c r="E12" s="96">
        <f t="shared" si="0"/>
        <v>1424.3999999999999</v>
      </c>
      <c r="F12" s="96">
        <f t="shared" si="1"/>
        <v>118.7</v>
      </c>
      <c r="G12" s="92">
        <f t="shared" si="2"/>
        <v>237.4</v>
      </c>
      <c r="H12" s="93">
        <f t="shared" si="3"/>
        <v>4140.499999999999</v>
      </c>
      <c r="I12" s="142">
        <f>popcorn!G99</f>
        <v>1500</v>
      </c>
      <c r="J12" s="96">
        <f t="shared" si="4"/>
        <v>2.7603333333333326</v>
      </c>
    </row>
    <row r="13" spans="1:10" ht="12.75">
      <c r="A13" s="118" t="s">
        <v>60</v>
      </c>
      <c r="B13" s="118"/>
      <c r="C13" s="97">
        <f>(popcorn!F100+(popcorn!F100*0.36)+D13)/2</f>
        <v>11520</v>
      </c>
      <c r="D13" s="97">
        <f>(popcorn!F100-(popcorn!F100*0.36))/8</f>
        <v>1280</v>
      </c>
      <c r="E13" s="97">
        <f t="shared" si="0"/>
        <v>691.1999999999999</v>
      </c>
      <c r="F13" s="97">
        <f t="shared" si="1"/>
        <v>57.6</v>
      </c>
      <c r="G13" s="94">
        <f t="shared" si="2"/>
        <v>115.2</v>
      </c>
      <c r="H13" s="95">
        <f t="shared" si="3"/>
        <v>2143.9999999999995</v>
      </c>
      <c r="I13" s="143">
        <f>popcorn!G100</f>
        <v>1500</v>
      </c>
      <c r="J13" s="97">
        <f t="shared" si="4"/>
        <v>1.4293333333333331</v>
      </c>
    </row>
    <row r="14" ht="12.75">
      <c r="J14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AEDE</cp:lastModifiedBy>
  <cp:lastPrinted>2008-05-05T19:29:01Z</cp:lastPrinted>
  <dcterms:created xsi:type="dcterms:W3CDTF">1999-03-19T18:36:31Z</dcterms:created>
  <dcterms:modified xsi:type="dcterms:W3CDTF">2008-05-19T17:37:59Z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